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C:\Users\sujam\OneDrive\Desktop\SUVICHEM CONSULTANCY SERVICES\Calculation Templates\Final Excel Tools\"/>
    </mc:Choice>
  </mc:AlternateContent>
  <xr:revisionPtr revIDLastSave="0" documentId="13_ncr:1_{E4A0E326-5222-409B-AF85-D784B4B83E10}" xr6:coauthVersionLast="47" xr6:coauthVersionMax="47" xr10:uidLastSave="{00000000-0000-0000-0000-000000000000}"/>
  <workbookProtection workbookAlgorithmName="SHA-512" workbookHashValue="daNujEb5nwPunZce/kXgGaTk1yQjph/YH7La2q7qsLWsJNZGB14VuHrcypeTQ9V4ED60x7B4NvRl6tZr0tzPQw==" workbookSaltValue="6Bnqx2S0Yt7Ts2vgK2QM1A==" workbookSpinCount="100000" lockStructure="1"/>
  <bookViews>
    <workbookView xWindow="-108" yWindow="-108" windowWidth="23256" windowHeight="12456" tabRatio="735" firstSheet="1" activeTab="2" xr2:uid="{00000000-000D-0000-FFFF-FFFF00000000}"/>
  </bookViews>
  <sheets>
    <sheet name="Branding" sheetId="10" state="hidden" r:id="rId1"/>
    <sheet name="Home_Dashboard" sheetId="11" r:id="rId2"/>
    <sheet name="Input_Form" sheetId="12" r:id="rId3"/>
    <sheet name="Results_Dashboard" sheetId="13" r:id="rId4"/>
    <sheet name="Recommendations" sheetId="20" r:id="rId5"/>
    <sheet name="ΔP Details" sheetId="21" r:id="rId6"/>
    <sheet name="Legal_Disclaimer" sheetId="9" r:id="rId7"/>
    <sheet name="Unit_Check" sheetId="15" state="hidden" r:id="rId8"/>
    <sheet name="Unit_Control" sheetId="14" state="hidden" r:id="rId9"/>
    <sheet name="Tube_Inputs" sheetId="1" state="hidden" r:id="rId10"/>
    <sheet name="Shell_Inputs" sheetId="3" state="hidden" r:id="rId11"/>
    <sheet name="Shell_DP" sheetId="8" state="hidden" r:id="rId12"/>
    <sheet name="Tube_DP" sheetId="7" state="hidden" r:id="rId13"/>
    <sheet name="DP_Checks" sheetId="6" state="hidden" r:id="rId14"/>
    <sheet name="Shell_HT" sheetId="4" state="hidden" r:id="rId15"/>
    <sheet name="Tube_HT" sheetId="2" state="hidden" r:id="rId16"/>
    <sheet name="Overall_Rating" sheetId="5" state="hidden" r:id="rId17"/>
    <sheet name="Energy_Check" sheetId="18" state="hidden" r:id="rId18"/>
    <sheet name="Chemical_Properties" sheetId="16" state="hidden" r:id="rId19"/>
    <sheet name="Reference for Properties" sheetId="17" state="hidden" r:id="rId20"/>
    <sheet name="Theory behind j factors" sheetId="19" state="hidden" r:id="rId2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0" i="13" l="1"/>
  <c r="B4" i="5"/>
  <c r="C31" i="12" l="1"/>
  <c r="E21" i="21"/>
  <c r="B7" i="20" s="1"/>
  <c r="E12" i="21"/>
  <c r="E13" i="21"/>
  <c r="B9" i="7"/>
  <c r="B11" i="7" s="1"/>
  <c r="C4" i="6" s="1"/>
  <c r="G45" i="12"/>
  <c r="I45" i="12" s="1"/>
  <c r="B10" i="7" s="1"/>
  <c r="I42" i="12"/>
  <c r="B6" i="15" s="1"/>
  <c r="I43" i="12"/>
  <c r="B7" i="15" s="1"/>
  <c r="G44" i="12"/>
  <c r="I44" i="12" s="1"/>
  <c r="E7" i="21"/>
  <c r="H20" i="11"/>
  <c r="J7" i="8"/>
  <c r="B17" i="4"/>
  <c r="B2" i="8"/>
  <c r="B50" i="4"/>
  <c r="C15" i="3" s="1"/>
  <c r="B52" i="4"/>
  <c r="B51" i="4"/>
  <c r="B44" i="4"/>
  <c r="B41" i="4"/>
  <c r="B42" i="4" s="1"/>
  <c r="B43" i="4" s="1"/>
  <c r="B45" i="4" s="1"/>
  <c r="B24" i="4"/>
  <c r="B25" i="4"/>
  <c r="C29" i="12"/>
  <c r="B18" i="4"/>
  <c r="B19" i="4" s="1"/>
  <c r="B20" i="4" s="1"/>
  <c r="B21" i="4" s="1"/>
  <c r="I20" i="12"/>
  <c r="C6" i="3" s="1"/>
  <c r="B2" i="4" s="1"/>
  <c r="D29" i="12"/>
  <c r="C25" i="12"/>
  <c r="C2" i="18"/>
  <c r="C12" i="18" s="1"/>
  <c r="C10" i="18"/>
  <c r="C24" i="14"/>
  <c r="C23" i="14"/>
  <c r="C16" i="12"/>
  <c r="C26" i="14" s="1"/>
  <c r="G24" i="12"/>
  <c r="I24" i="12" s="1"/>
  <c r="G23" i="12"/>
  <c r="I23" i="12" s="1"/>
  <c r="G22" i="12"/>
  <c r="I22" i="12" s="1"/>
  <c r="G21" i="12"/>
  <c r="I21" i="12" s="1"/>
  <c r="G13" i="12"/>
  <c r="I13" i="12" s="1"/>
  <c r="G12" i="12"/>
  <c r="I12" i="12" s="1"/>
  <c r="G11" i="12"/>
  <c r="I11" i="12" s="1"/>
  <c r="G10" i="12"/>
  <c r="I10" i="12" s="1"/>
  <c r="B8" i="15"/>
  <c r="B5" i="15"/>
  <c r="B2" i="15"/>
  <c r="B3" i="15"/>
  <c r="B4" i="15"/>
  <c r="I9" i="12"/>
  <c r="C6" i="1" s="1"/>
  <c r="B2" i="2" s="1"/>
  <c r="E13" i="12"/>
  <c r="E9" i="12"/>
  <c r="C2" i="1" s="1"/>
  <c r="E23" i="12"/>
  <c r="C5" i="3" s="1"/>
  <c r="B18" i="8" s="1"/>
  <c r="E22" i="12"/>
  <c r="C4" i="3" s="1"/>
  <c r="E21" i="12"/>
  <c r="C3" i="3" s="1"/>
  <c r="E20" i="12"/>
  <c r="C2" i="3" s="1"/>
  <c r="E10" i="12"/>
  <c r="C3" i="1" s="1"/>
  <c r="H5" i="14"/>
  <c r="E22" i="21" l="1"/>
  <c r="B8" i="20" s="1"/>
  <c r="J6" i="8"/>
  <c r="J5" i="8"/>
  <c r="B7" i="8"/>
  <c r="B20" i="20"/>
  <c r="G21" i="21"/>
  <c r="C31" i="21"/>
  <c r="B32" i="8"/>
  <c r="B38" i="8" s="1"/>
  <c r="G6" i="21"/>
  <c r="B53" i="4"/>
  <c r="B34" i="4"/>
  <c r="B35" i="4" s="1"/>
  <c r="B26" i="4"/>
  <c r="C12" i="3"/>
  <c r="L12" i="4"/>
  <c r="L13" i="4"/>
  <c r="C11" i="18"/>
  <c r="C10" i="1"/>
  <c r="C8" i="1"/>
  <c r="C9" i="1"/>
  <c r="C4" i="18" s="1"/>
  <c r="C27" i="14"/>
  <c r="C7" i="3" s="1"/>
  <c r="C7" i="1"/>
  <c r="B13" i="15"/>
  <c r="E22" i="11"/>
  <c r="C5" i="1"/>
  <c r="C4" i="1"/>
  <c r="B3" i="2" s="1"/>
  <c r="C32" i="21" l="1"/>
  <c r="B21" i="20"/>
  <c r="G22" i="21"/>
  <c r="J8" i="8"/>
  <c r="B38" i="4"/>
  <c r="B24" i="8"/>
  <c r="B36" i="4"/>
  <c r="B37" i="4" s="1"/>
  <c r="C14" i="3" s="1"/>
  <c r="B39" i="8"/>
  <c r="I6" i="21"/>
  <c r="J10" i="13"/>
  <c r="M10" i="13" s="1"/>
  <c r="K10" i="13" s="1"/>
  <c r="C5" i="6"/>
  <c r="J14" i="13" s="1"/>
  <c r="M14" i="13" s="1"/>
  <c r="K14" i="13" s="1"/>
  <c r="N13" i="4" a="1"/>
  <c r="N13" i="4" s="1"/>
  <c r="M13" i="4" a="1"/>
  <c r="M13" i="4" s="1"/>
  <c r="M12" i="4" a="1"/>
  <c r="M12" i="4" s="1"/>
  <c r="N12" i="4" a="1"/>
  <c r="N12" i="4" s="1"/>
  <c r="C14" i="18"/>
  <c r="C18" i="18"/>
  <c r="E25" i="11" s="1"/>
  <c r="C10" i="3"/>
  <c r="C8" i="3"/>
  <c r="C9" i="3"/>
  <c r="B6" i="2"/>
  <c r="B4" i="2"/>
  <c r="B5" i="2" s="1"/>
  <c r="B2" i="7" s="1"/>
  <c r="B3" i="7" s="1"/>
  <c r="B3" i="4"/>
  <c r="B5" i="8"/>
  <c r="B5" i="4"/>
  <c r="D12" i="13"/>
  <c r="G12" i="13" s="1"/>
  <c r="E12" i="13" s="1"/>
  <c r="B3" i="8"/>
  <c r="E20" i="21" l="1"/>
  <c r="B4" i="8"/>
  <c r="E24" i="21"/>
  <c r="H26" i="11"/>
  <c r="F26" i="21"/>
  <c r="B4" i="4"/>
  <c r="B6" i="4" s="1"/>
  <c r="B27" i="4"/>
  <c r="B28" i="4" s="1"/>
  <c r="L15" i="4"/>
  <c r="L16" i="4"/>
  <c r="C5" i="18"/>
  <c r="C9" i="18" s="1"/>
  <c r="B7" i="4"/>
  <c r="B7" i="2"/>
  <c r="B8" i="2" s="1"/>
  <c r="B4" i="7"/>
  <c r="B31" i="4" l="1"/>
  <c r="B22" i="8"/>
  <c r="E23" i="21" s="1"/>
  <c r="J4" i="8"/>
  <c r="E19" i="21"/>
  <c r="B6" i="8"/>
  <c r="B12" i="20"/>
  <c r="G20" i="21"/>
  <c r="B19" i="20"/>
  <c r="C30" i="21"/>
  <c r="B14" i="20"/>
  <c r="B23" i="20"/>
  <c r="G24" i="21"/>
  <c r="C34" i="21"/>
  <c r="G5" i="21"/>
  <c r="G8" i="21" s="1"/>
  <c r="J8" i="13"/>
  <c r="M8" i="13" s="1"/>
  <c r="K8" i="13" s="1"/>
  <c r="B13" i="4"/>
  <c r="C11" i="3" s="1"/>
  <c r="B8" i="4" s="1"/>
  <c r="B15" i="8"/>
  <c r="B16" i="8" s="1"/>
  <c r="B17" i="8" s="1"/>
  <c r="B56" i="4"/>
  <c r="B58" i="4" s="1"/>
  <c r="C16" i="3" s="1"/>
  <c r="B57" i="4"/>
  <c r="B29" i="4"/>
  <c r="B30" i="4" s="1"/>
  <c r="C13" i="3" s="1"/>
  <c r="C6" i="18"/>
  <c r="C7" i="18" s="1"/>
  <c r="B4" i="6"/>
  <c r="D4" i="6" s="1"/>
  <c r="H18" i="11"/>
  <c r="C29" i="21" l="1"/>
  <c r="B6" i="20"/>
  <c r="G19" i="21"/>
  <c r="B18" i="20"/>
  <c r="B13" i="20"/>
  <c r="B22" i="20"/>
  <c r="G23" i="21"/>
  <c r="C33" i="21"/>
  <c r="G7" i="21"/>
  <c r="B20" i="8"/>
  <c r="B26" i="8" s="1"/>
  <c r="B27" i="8" s="1"/>
  <c r="E25" i="21" s="1"/>
  <c r="B9" i="4"/>
  <c r="B2" i="5" s="1"/>
  <c r="B3" i="5" s="1"/>
  <c r="B14" i="4"/>
  <c r="B8" i="8" l="1"/>
  <c r="B9" i="8" s="1"/>
  <c r="E26" i="21" s="1"/>
  <c r="G26" i="21" s="1"/>
  <c r="E36" i="21" s="1"/>
  <c r="F36" i="21" s="1"/>
  <c r="G19" i="8"/>
  <c r="I5" i="21"/>
  <c r="C16" i="18"/>
  <c r="D8" i="13"/>
  <c r="G8" i="13" s="1"/>
  <c r="E8" i="13" s="1"/>
  <c r="E16" i="11"/>
  <c r="D10" i="13"/>
  <c r="G10" i="13" s="1"/>
  <c r="E10" i="13" s="1"/>
  <c r="E16" i="13" s="1"/>
  <c r="B5" i="5"/>
  <c r="B7" i="5" s="1"/>
  <c r="E19" i="11"/>
  <c r="H24" i="11" l="1"/>
  <c r="B5" i="6"/>
  <c r="D5" i="6" s="1"/>
  <c r="B9" i="5" s="1"/>
  <c r="G9" i="11" s="1"/>
  <c r="J12" i="13"/>
  <c r="M12" i="13" s="1"/>
  <c r="K12" i="13" s="1"/>
  <c r="K16" i="13" s="1"/>
  <c r="C13" i="11"/>
  <c r="B47" i="8" a="1"/>
  <c r="B47" i="8" s="1"/>
  <c r="B35" i="8"/>
  <c r="G20" i="8"/>
  <c r="B6" i="5"/>
  <c r="I8" i="21"/>
  <c r="I7" i="21"/>
  <c r="D14" i="13"/>
  <c r="E14" i="13" s="1"/>
  <c r="B8" i="5" l="1"/>
  <c r="B23" i="13" s="1"/>
  <c r="C9" i="11"/>
  <c r="D18" i="13"/>
  <c r="E18" i="13" s="1"/>
  <c r="J18" i="13" l="1"/>
  <c r="K18" i="1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tc={6F37AA25-6A5A-49DE-9CB5-6CD32B0FC4B8}</author>
  </authors>
  <commentList>
    <comment ref="H26" authorId="0" shapeId="0" xr:uid="{6F37AA25-6A5A-49DE-9CB5-6CD32B0FC4B8}">
      <text>
        <t>[Threaded comment]
Your version of Excel allows you to read this threaded comment; however, any edits to it will get removed if the file is opened in a newer version of Excel. Learn more: https://go.microsoft.com/fwlink/?linkid=870924
Comment:
    Allowable ΔP Logic:
• If client/process datasheet specifies allowable ΔP, that value governs.
• If no datasheet value is provided, an industry guideline ΔP based on fluid type is used.
• Exceeding allowable ΔP indicates potential operability or pumping limitations and requires engineering review.</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tc={20B4CF8D-8957-4D7E-A8BD-A95B70964EB6}</author>
    <author>tc={87A05A76-7CA2-40D2-B97B-1B30B91FFA26}</author>
    <author>tc={BC0F9E36-E7AC-401C-B0D3-373B563D5688}</author>
    <author>tc={6CA9DF75-CB91-469A-BF07-4EA8B80B9392}</author>
    <author>tc={9C5A8410-4C1F-44DA-9600-B52E6781D486}</author>
    <author>tc={179C7E5D-D823-4A13-B3EC-D388EFE90AB4}</author>
  </authors>
  <commentList>
    <comment ref="B19" authorId="0" shapeId="0" xr:uid="{20B4CF8D-8957-4D7E-A8BD-A95B70964EB6}">
      <text>
        <t>[Threaded comment]
Your version of Excel allows you to read this threaded comment; however, any edits to it will get removed if the file is opened in a newer version of Excel. Learn more: https://go.microsoft.com/fwlink/?linkid=870924
Comment:
    Shell-side mass velocity (Gs) governs frictional pressure drop.
ΔPcf ∝ Gs² / (2ρ)
High Gs significantly increases shell-side pressure drop and vibration risk.
Reference:
Bell &amp; Mueller (1973), AIChE Symposium Series
Kern, Process Heat Transfer</t>
      </text>
    </comment>
    <comment ref="B20" authorId="1" shapeId="0" xr:uid="{87A05A76-7CA2-40D2-B97B-1B30B91FFA26}">
      <text>
        <t>[Threaded comment]
Your version of Excel allows you to read this threaded comment; however, any edits to it will get removed if the file is opened in a newer version of Excel. Learn more: https://go.microsoft.com/fwlink/?linkid=870924
Comment:
    Cross-flow area (As) is the effective flow area normal to shell-side cross-flow.
Gs = ṁ / As
Low As increases velocity and pressure drop.
Reference:
Bell–Delaware Method
Perry’s Chemical Engineers’ Handbook</t>
      </text>
    </comment>
    <comment ref="B21" authorId="2" shapeId="0" xr:uid="{BC0F9E36-E7AC-401C-B0D3-373B563D5688}">
      <text>
        <t>[Threaded comment]
Your version of Excel allows you to read this threaded comment; however, any edits to it will get removed if the file is opened in a newer version of Excel. Learn more: https://go.microsoft.com/fwlink/?linkid=870924
Comment:
    Equivalent diameter (De) represents hydraulic diameter for shell-side cross-flow.
Smaller De increases friction factor and pressure drop.
De depends on tube layout and pitch.
Reference:
Bell–Delaware correlations
Perry’s Chemical Engineers’ Handbook</t>
      </text>
    </comment>
    <comment ref="B22" authorId="3" shapeId="0" xr:uid="{6CA9DF75-CB91-469A-BF07-4EA8B80B9392}">
      <text>
        <t>[Threaded comment]
Your version of Excel allows you to read this threaded comment; however, any edits to it will get removed if the file is opened in a newer version of Excel. Learn more: https://go.microsoft.com/fwlink/?linkid=870924
Comment:
    Number of cross-flow sections (N_cf) represents the number of times shell-side fluid crosses the tube bundle.
N_cf = L_s / L_b
Shell-side pressure drop increases approximately linearly with N_cf.
Excessive N_cf indicates tight baffle spacing, which increases hydraulic resistance.
Reference:
Bell &amp; Mueller (1973), AIChE Symposium Series
Bell–Delaware Method
Perry’s Chemical Engineers’ Handbook</t>
      </text>
    </comment>
    <comment ref="B23" authorId="4" shapeId="0" xr:uid="{9C5A8410-4C1F-44DA-9600-B52E6781D486}">
      <text>
        <t>[Threaded comment]
Your version of Excel allows you to read this threaded comment; however, any edits to it will get removed if the file is opened in a newer version of Excel. Learn more: https://go.microsoft.com/fwlink/?linkid=870924
Comment:
    Leakage correction factor (Rl) accounts for shell-to-baffle and tube-to-baffle leakage.
Rl &lt; 1 indicates flow leakage reducing effective cross-flow.
Typical values: 0.85–0.95
Reference:
Bell &amp; Mueller (1973)
University of Delaware Heat Exchanger Program</t>
      </text>
    </comment>
    <comment ref="B24" authorId="5" shapeId="0" xr:uid="{179C7E5D-D823-4A13-B3EC-D388EFE90AB4}">
      <text>
        <t>[Threaded comment]
Your version of Excel allows you to read this threaded comment; however, any edits to it will get removed if the file is opened in a newer version of Excel. Learn more: https://go.microsoft.com/fwlink/?linkid=870924
Comment:
    Bypass correction factor (Rb) accounts for shell-to-bundle bypass flow.
Low Rb indicates significant bypassing, reducing heat transfer effectiveness.
Typical values: 0.70–0.90
Reference:
Bell–Delaware Method
TEMA mechanical tolerances</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<sst xmlns="http://schemas.openxmlformats.org/spreadsheetml/2006/main" count="1147" uniqueCount="901">
  <si>
    <t>Parameter</t>
  </si>
  <si>
    <t>Symbol</t>
  </si>
  <si>
    <t>Value</t>
  </si>
  <si>
    <t>Units</t>
  </si>
  <si>
    <t>Tube inside diameter</t>
  </si>
  <si>
    <t>Di</t>
  </si>
  <si>
    <t>m</t>
  </si>
  <si>
    <t>Tube length</t>
  </si>
  <si>
    <t>L</t>
  </si>
  <si>
    <t>Number of tubes</t>
  </si>
  <si>
    <t>Nt</t>
  </si>
  <si>
    <t>-</t>
  </si>
  <si>
    <t>Number of passes</t>
  </si>
  <si>
    <t>Np</t>
  </si>
  <si>
    <t>Mass flow rate</t>
  </si>
  <si>
    <t>m_dot</t>
  </si>
  <si>
    <t>kg/h</t>
  </si>
  <si>
    <t>Density</t>
  </si>
  <si>
    <t>rho</t>
  </si>
  <si>
    <t>kg/m3</t>
  </si>
  <si>
    <t>Viscosity</t>
  </si>
  <si>
    <t>mu</t>
  </si>
  <si>
    <t>Pa.s</t>
  </si>
  <si>
    <t>Specific heat</t>
  </si>
  <si>
    <t>Cp</t>
  </si>
  <si>
    <t>J/kg.K</t>
  </si>
  <si>
    <t>Thermal conductivity</t>
  </si>
  <si>
    <t>k</t>
  </si>
  <si>
    <t>W/m.K</t>
  </si>
  <si>
    <t>Calculation</t>
  </si>
  <si>
    <t>Formula (Reference)</t>
  </si>
  <si>
    <t>Mass flow (kg/s)</t>
  </si>
  <si>
    <t>Flow area (m2)</t>
  </si>
  <si>
    <t>A = Nt·π·Di² / 4</t>
  </si>
  <si>
    <t>Velocity (m/s)</t>
  </si>
  <si>
    <t>v = ṁ / (ρ·A)</t>
  </si>
  <si>
    <t>Reynolds</t>
  </si>
  <si>
    <t>Re = ρ·v·Di / μ</t>
  </si>
  <si>
    <t>Prandtl</t>
  </si>
  <si>
    <t>Pr = Cp·μ / k</t>
  </si>
  <si>
    <t>Nusselt</t>
  </si>
  <si>
    <t>Nu = 0.023·Re^0.8·Pr^0.4</t>
  </si>
  <si>
    <t>hi (W/m2.K)</t>
  </si>
  <si>
    <t>hi = Nu·k / Di</t>
  </si>
  <si>
    <t>Shell inside diameter</t>
  </si>
  <si>
    <t>Ds</t>
  </si>
  <si>
    <t>Tube outside diameter</t>
  </si>
  <si>
    <t>Do</t>
  </si>
  <si>
    <t>Tube pitch</t>
  </si>
  <si>
    <t>Pt</t>
  </si>
  <si>
    <t>Baffle spacing</t>
  </si>
  <si>
    <t>Lb</t>
  </si>
  <si>
    <t>Shell mass flow</t>
  </si>
  <si>
    <t>m_s</t>
  </si>
  <si>
    <t>rho_s</t>
  </si>
  <si>
    <t>mu_s</t>
  </si>
  <si>
    <t>Cp_s</t>
  </si>
  <si>
    <t>k_s</t>
  </si>
  <si>
    <t>jH factor</t>
  </si>
  <si>
    <t>jH</t>
  </si>
  <si>
    <t>Jc</t>
  </si>
  <si>
    <t>Jl</t>
  </si>
  <si>
    <t>Jb</t>
  </si>
  <si>
    <t>Js</t>
  </si>
  <si>
    <t>Jr</t>
  </si>
  <si>
    <t>ṁ = m_s / 3600</t>
  </si>
  <si>
    <t>Cross-flow area As (m2)</t>
  </si>
  <si>
    <t>As = Ds·(Pt−Do)/Pt·Lb</t>
  </si>
  <si>
    <t>Mass velocity Gs (kg/m2.s)</t>
  </si>
  <si>
    <t>Gs = ṁ / As</t>
  </si>
  <si>
    <t>Equivalent diameter De (m)</t>
  </si>
  <si>
    <t>De = 1.27·(Pt² − 0.785·Do²)/Do</t>
  </si>
  <si>
    <t>Reynolds Res</t>
  </si>
  <si>
    <t>Re_s = Gs·De / μ</t>
  </si>
  <si>
    <t>Prandtl Prs</t>
  </si>
  <si>
    <t>Pr_s = Cp·μ / k</t>
  </si>
  <si>
    <t>h_ideal (W/m2.K)</t>
  </si>
  <si>
    <t>h_ideal = jH·Gs·Cp / Pr^(2/3)</t>
  </si>
  <si>
    <t>hs (W/m2.K)</t>
  </si>
  <si>
    <t>hs = h_ideal·Jc·Jl·Jb·Js·Jr</t>
  </si>
  <si>
    <t>U dirty (W/m2.K)</t>
  </si>
  <si>
    <t>Udirty = 1 / (1/hi + 1/hs + Rfi + Rfo)</t>
  </si>
  <si>
    <t>Required Area (m2)</t>
  </si>
  <si>
    <t>Areq = Q / (Udirty·LMTD·Ft)</t>
  </si>
  <si>
    <t>Installed Area (m2)</t>
  </si>
  <si>
    <t>Margin (%)</t>
  </si>
  <si>
    <t>Margin = (Ainst − Areq) / Areq</t>
  </si>
  <si>
    <t>Result</t>
  </si>
  <si>
    <t>PASS if Margin ≥ 0</t>
  </si>
  <si>
    <t>ΔP Status</t>
  </si>
  <si>
    <t>ΔP CHECKS &amp; WARNINGS</t>
  </si>
  <si>
    <t>Value (Pa)</t>
  </si>
  <si>
    <t>Allowable (Pa)</t>
  </si>
  <si>
    <t>Status</t>
  </si>
  <si>
    <t>Tube-side ΔP</t>
  </si>
  <si>
    <t>Shell-side ΔP</t>
  </si>
  <si>
    <t>Formula</t>
  </si>
  <si>
    <t>Friction factor (f)</t>
  </si>
  <si>
    <t>f = 0.316/Re^0.25 (Blasius)</t>
  </si>
  <si>
    <t>ΔP per pass</t>
  </si>
  <si>
    <t>ΔP = f·(L/Di)·(ρ·v²/2)</t>
  </si>
  <si>
    <t>Total Tube-side ΔP</t>
  </si>
  <si>
    <t>ΔPt = ΔP/pass × No. of passes</t>
  </si>
  <si>
    <t>Cross-flow area As</t>
  </si>
  <si>
    <t>Mass velocity Gs</t>
  </si>
  <si>
    <t>Equivalent diameter De</t>
  </si>
  <si>
    <t>Bell–Delaware De</t>
  </si>
  <si>
    <t>ΔP per cross-flow section</t>
  </si>
  <si>
    <t>ΔP = f·(Gs²/2ρ)·(Lb/De)</t>
  </si>
  <si>
    <t>Total Shell-side ΔP</t>
  </si>
  <si>
    <t>ENGINEERING DISCLAIMER, NO LIABILITY &amp; TERMS OF USE</t>
  </si>
  <si>
    <t>ENGINEERING DISCLAIMER</t>
  </si>
  <si>
    <t>NO LIABILITY CLAUSE</t>
  </si>
  <si>
    <t>SUVI CHEM Consultancy Services shall not be liable for any direct or indirect losses, including but not limited to production loss, equipment damage, safety incidents, financial loss, or regulatory non-compliance arising from the use or misuse of this toolkit. The user assumes full responsibility for decisions taken based on the outputs of this toolkit.</t>
  </si>
  <si>
    <t>TERMS OF USE</t>
  </si>
  <si>
    <t>This toolkit is licensed for single-user or single-organization internal use only. Redistribution, resale, sublicensing, or sharing of this file or its contents is strictly prohibited. All formulas, structure, and methodology remain the intellectual property of SUVI CHEM Consultancy Services. Use of this toolkit constitutes acceptance of these terms. Governing law: India. Jurisdiction: Maharashtra.</t>
  </si>
  <si>
    <t>© SUVI CHEM Consultancy Services | Proprietary Engineering Toolkit</t>
  </si>
  <si>
    <t>Heat Exchanger Diagnostic Application</t>
  </si>
  <si>
    <t>SUVI CHEM™ CONSULTANCY SERVICES</t>
  </si>
  <si>
    <t>THERMAL STATUS</t>
  </si>
  <si>
    <t>HYDRAULIC STATUS</t>
  </si>
  <si>
    <t>OVERALL VERDICT</t>
  </si>
  <si>
    <t>U dirty (W/m²·K)</t>
  </si>
  <si>
    <t>Installed Area (m²)</t>
  </si>
  <si>
    <t>Required Area (m²)</t>
  </si>
  <si>
    <t>Tube ΔP (bar)</t>
  </si>
  <si>
    <t>Shell ΔP (bar)</t>
  </si>
  <si>
    <t>PROCESS INPUT FORM</t>
  </si>
  <si>
    <t>Enter operating and design data below</t>
  </si>
  <si>
    <t>TUBE SIDE INPUTS</t>
  </si>
  <si>
    <t>SHELL SIDE INPUTS</t>
  </si>
  <si>
    <t>FOULING &amp; ALLOWABLES</t>
  </si>
  <si>
    <t>Tube Inside Diameter</t>
  </si>
  <si>
    <t>Tube Length</t>
  </si>
  <si>
    <t>Nos</t>
  </si>
  <si>
    <t>Number of Passes</t>
  </si>
  <si>
    <t>Tube-side Fouling Resistance</t>
  </si>
  <si>
    <t>m²·K/W</t>
  </si>
  <si>
    <t>Shell-side Fouling Resistance</t>
  </si>
  <si>
    <t>Allowable Tube-side ΔP</t>
  </si>
  <si>
    <t>Pa</t>
  </si>
  <si>
    <t>Allowable Shell-side ΔP</t>
  </si>
  <si>
    <t>RESULTS DASHBOARD</t>
  </si>
  <si>
    <t>Thermal and hydraulic performance summary</t>
  </si>
  <si>
    <t>THERMAL PERFORMANCE</t>
  </si>
  <si>
    <t>HYDRAULIC PERFORMANCE</t>
  </si>
  <si>
    <t>DIAGNOSTIC INSIGHT</t>
  </si>
  <si>
    <t>Overall Heat Transfer Coefficient (Dirty)</t>
  </si>
  <si>
    <t>W/m²·K</t>
  </si>
  <si>
    <t>Required Heat Transfer Area</t>
  </si>
  <si>
    <t>Area Margin</t>
  </si>
  <si>
    <t>%</t>
  </si>
  <si>
    <t>Thermal Status</t>
  </si>
  <si>
    <t>Tube-side Pressure Drop</t>
  </si>
  <si>
    <t>bar</t>
  </si>
  <si>
    <t>Shell-side Pressure Drop</t>
  </si>
  <si>
    <t>Hydraulic Status</t>
  </si>
  <si>
    <t>Length</t>
  </si>
  <si>
    <t>Unit</t>
  </si>
  <si>
    <t>to_m</t>
  </si>
  <si>
    <t>mm</t>
  </si>
  <si>
    <t>inch</t>
  </si>
  <si>
    <t>ft</t>
  </si>
  <si>
    <t>to_Pa</t>
  </si>
  <si>
    <t>kPa</t>
  </si>
  <si>
    <t>psi</t>
  </si>
  <si>
    <t>to_kg_s</t>
  </si>
  <si>
    <t>kg/s</t>
  </si>
  <si>
    <t>lb/h</t>
  </si>
  <si>
    <t>To_m2</t>
  </si>
  <si>
    <t>m²</t>
  </si>
  <si>
    <t>ft²</t>
  </si>
  <si>
    <t>Pressure</t>
  </si>
  <si>
    <t>Flow</t>
  </si>
  <si>
    <t>Area</t>
  </si>
  <si>
    <t>To_Pa_s</t>
  </si>
  <si>
    <t>Pa·s</t>
  </si>
  <si>
    <t>cP</t>
  </si>
  <si>
    <t>To_kg_m3</t>
  </si>
  <si>
    <t>kg/m³</t>
  </si>
  <si>
    <t>g/cm³</t>
  </si>
  <si>
    <t xml:space="preserve"> </t>
  </si>
  <si>
    <t>kg/S</t>
  </si>
  <si>
    <t xml:space="preserve">ṁ = m_dot </t>
  </si>
  <si>
    <t>To_J_kgK</t>
  </si>
  <si>
    <t>J/kg·K</t>
  </si>
  <si>
    <t>kJ/kg·K</t>
  </si>
  <si>
    <t>cal/g·°C</t>
  </si>
  <si>
    <t>kcal/kg·°C</t>
  </si>
  <si>
    <t>Btu/lb·°F</t>
  </si>
  <si>
    <t>To_W_mK</t>
  </si>
  <si>
    <t>W/m·K</t>
  </si>
  <si>
    <t>W/m·°C</t>
  </si>
  <si>
    <t>kcal/m·h·°C</t>
  </si>
  <si>
    <t>kcal/m·h·K</t>
  </si>
  <si>
    <t>Btu/h·ft·°F</t>
  </si>
  <si>
    <t>Thermal Conductivity</t>
  </si>
  <si>
    <t>Specific Heat Cp</t>
  </si>
  <si>
    <t>To_W_m2K</t>
  </si>
  <si>
    <t>W/m²·°C</t>
  </si>
  <si>
    <t>kcal/m²·h·°C</t>
  </si>
  <si>
    <t>kcal/m²·h·K</t>
  </si>
  <si>
    <t>Btu/h·ft²·°F</t>
  </si>
  <si>
    <t>Heat Transfer Coefficient</t>
  </si>
  <si>
    <t>Tube side Flow–Cp unit consistency</t>
  </si>
  <si>
    <t>Value not available</t>
  </si>
  <si>
    <t>Shell Flow–Cp unit consistency</t>
  </si>
  <si>
    <t>Tube side Pressure unit &amp; ΔP base consistency</t>
  </si>
  <si>
    <t>Shell side Pressure unit &amp; ΔP base consistency</t>
  </si>
  <si>
    <t>Fouling Resistance and Unit validity</t>
  </si>
  <si>
    <t>Chemical Name</t>
  </si>
  <si>
    <t>Density (kg/m3)</t>
  </si>
  <si>
    <t>Viscosity (Pa.s)</t>
  </si>
  <si>
    <t>Cp (J/kg.K)</t>
  </si>
  <si>
    <t>Thermal Conductivity (W/m.K)</t>
  </si>
  <si>
    <t>Water</t>
  </si>
  <si>
    <t>Methanol</t>
  </si>
  <si>
    <t>Ethanol</t>
  </si>
  <si>
    <t>Isopropanol</t>
  </si>
  <si>
    <t>Acetone</t>
  </si>
  <si>
    <t>Toluene</t>
  </si>
  <si>
    <t>Benzene</t>
  </si>
  <si>
    <t>Xylene (mixed)</t>
  </si>
  <si>
    <t>Sulfuric Acid 98%</t>
  </si>
  <si>
    <t>Sulfuric Acid 50%</t>
  </si>
  <si>
    <t>Hydrochloric Acid 30%</t>
  </si>
  <si>
    <t>Nitric Acid 68%</t>
  </si>
  <si>
    <t>Sodium Hydroxide 50%</t>
  </si>
  <si>
    <t>Ethylene Glycol</t>
  </si>
  <si>
    <t>Propylene Glycol</t>
  </si>
  <si>
    <t>EG-Water 50%</t>
  </si>
  <si>
    <t>Diesel (typical)</t>
  </si>
  <si>
    <t>Kerosene</t>
  </si>
  <si>
    <t>Cooling Water</t>
  </si>
  <si>
    <t>Air</t>
  </si>
  <si>
    <t>Boiler Feed Water</t>
  </si>
  <si>
    <t>Chilled Water (5 °C)</t>
  </si>
  <si>
    <t>Hot Water (80 °C)</t>
  </si>
  <si>
    <t>Steam (sat @ 1 bar)</t>
  </si>
  <si>
    <t>Nitrogen</t>
  </si>
  <si>
    <t>Fluid</t>
  </si>
  <si>
    <t>Physical properties are typical reference values at near-ambient conditions. Actual properties vary with temperature, pressure, and composition. Users must verify properties for final design and safety decisions.</t>
  </si>
  <si>
    <t>Beta (1/C)</t>
  </si>
  <si>
    <t>C_visc</t>
  </si>
  <si>
    <t>a_Cp (1/C)</t>
  </si>
  <si>
    <t>b_k (1/C)</t>
  </si>
  <si>
    <t>Steam is a gas — HX correlations differ from liquids. These values are for preliminary checks only.</t>
  </si>
  <si>
    <t>REFERENCES FOR TEMPERATURE CORRELATIONS &amp; CONSTANTS</t>
  </si>
  <si>
    <t>1️⃣ Density – Linear Thermal Expansion (β)</t>
  </si>
  <si>
    <t>Correlation used</t>
  </si>
  <si>
    <t>ρ(T)=ρref [1−β(T−Tref)]\rho(T) = \rho_{ref}\,[1 - \beta (T - T_{ref})]ρ(T)=ρref​[1−β(T−Tref​)]</t>
  </si>
  <si>
    <t>References</t>
  </si>
  <si>
    <r>
      <t>1. Perry &amp; Green – Chemical Engineers’ Handbook</t>
    </r>
    <r>
      <rPr>
        <sz val="11"/>
        <color theme="1"/>
        <rFont val="Calibri"/>
        <family val="2"/>
        <scheme val="minor"/>
      </rPr>
      <t>, 8th Ed.</t>
    </r>
  </si>
  <si>
    <r>
      <t xml:space="preserve">Section: </t>
    </r>
    <r>
      <rPr>
        <i/>
        <sz val="11"/>
        <color theme="1"/>
        <rFont val="Calibri"/>
        <family val="2"/>
        <scheme val="minor"/>
      </rPr>
      <t>Physical Properties of Liquids</t>
    </r>
  </si>
  <si>
    <t>States linear thermal expansion is valid for small ΔT</t>
  </si>
  <si>
    <t>2. Coulson &amp; Richardson – Chemical Engineering, Vol 1</t>
  </si>
  <si>
    <r>
      <t xml:space="preserve">Chapter: </t>
    </r>
    <r>
      <rPr>
        <i/>
        <sz val="11"/>
        <color theme="1"/>
        <rFont val="Calibri"/>
        <family val="2"/>
        <scheme val="minor"/>
      </rPr>
      <t>Fluid Properties</t>
    </r>
  </si>
  <si>
    <t>Typical β ranges:</t>
  </si>
  <si>
    <t>Water: 0.0002–0.0004 /°C</t>
  </si>
  <si>
    <t>Organics: 0.0008–0.0013 /°C</t>
  </si>
  <si>
    <t>3. Incropera &amp; DeWitt – Fundamentals of Heat and Mass Transfer</t>
  </si>
  <si>
    <t>Density variation approximated linearly for liquids</t>
  </si>
  <si>
    <t>Why your β values are valid</t>
  </si>
  <si>
    <r>
      <t xml:space="preserve">You used </t>
    </r>
    <r>
      <rPr>
        <b/>
        <sz val="11"/>
        <color theme="1"/>
        <rFont val="Calibri"/>
        <family val="2"/>
        <scheme val="minor"/>
      </rPr>
      <t>mid-range handbook values</t>
    </r>
  </si>
  <si>
    <t>Conservative (do not exaggerate density change)</t>
  </si>
  <si>
    <r>
      <t xml:space="preserve">Standard practice in </t>
    </r>
    <r>
      <rPr>
        <b/>
        <sz val="11"/>
        <color theme="1"/>
        <rFont val="Calibri"/>
        <family val="2"/>
        <scheme val="minor"/>
      </rPr>
      <t>preliminary design</t>
    </r>
  </si>
  <si>
    <t>2️⃣ Viscosity – Andrade / Arrhenius-Type Equation</t>
  </si>
  <si>
    <t>μ=μref exp⁡ ⁣[C(1T−1Tref)]\mu = \mu_{ref}\,\exp\!\left[C\left(\frac{1}{T}-\frac{1}{T_{ref}}\right)\right]μ=μref​exp[C(T1​−Tref​1​)]</t>
  </si>
  <si>
    <r>
      <t>1. Reid, Prausnitz &amp; Poling – The Properties of Gases and Liquids</t>
    </r>
    <r>
      <rPr>
        <sz val="11"/>
        <color theme="1"/>
        <rFont val="Calibri"/>
        <family val="2"/>
        <scheme val="minor"/>
      </rPr>
      <t>, 5th Ed.</t>
    </r>
  </si>
  <si>
    <r>
      <t xml:space="preserve">Chapter 9: </t>
    </r>
    <r>
      <rPr>
        <i/>
        <sz val="11"/>
        <color theme="1"/>
        <rFont val="Calibri"/>
        <family val="2"/>
        <scheme val="minor"/>
      </rPr>
      <t>Liquid Viscosity</t>
    </r>
  </si>
  <si>
    <t>Andrade-type exponential form recommended</t>
  </si>
  <si>
    <r>
      <t>2. Perry’s Handbook</t>
    </r>
    <r>
      <rPr>
        <sz val="11"/>
        <color theme="1"/>
        <rFont val="Calibri"/>
        <family val="2"/>
        <scheme val="minor"/>
      </rPr>
      <t>, Viscosity section</t>
    </r>
  </si>
  <si>
    <t>Simplified exponential fits used for engineering estimates</t>
  </si>
  <si>
    <t>3. API Technical Data Book – Petroleum Refining</t>
  </si>
  <si>
    <t>Uses similar exponential temperature dependence for hydrocarbons</t>
  </si>
  <si>
    <t>Typical C values (handbook-consistent)</t>
  </si>
  <si>
    <t>Fluid Type</t>
  </si>
  <si>
    <t>Typical C</t>
  </si>
  <si>
    <t>1000–1300</t>
  </si>
  <si>
    <t>Alcohols</t>
  </si>
  <si>
    <t>1500–2000</t>
  </si>
  <si>
    <t>Hydrocarbons</t>
  </si>
  <si>
    <t>1200–3000</t>
  </si>
  <si>
    <t>Heavy oils</t>
  </si>
  <si>
    <t>3000–5000</t>
  </si>
  <si>
    <r>
      <t xml:space="preserve">✔ Your constants fall </t>
    </r>
    <r>
      <rPr>
        <b/>
        <sz val="11"/>
        <color theme="1"/>
        <rFont val="Calibri"/>
        <family val="2"/>
        <scheme val="minor"/>
      </rPr>
      <t>inside published ranges</t>
    </r>
  </si>
  <si>
    <t>3️⃣ Specific Heat – Linear Approximation</t>
  </si>
  <si>
    <t>Cp(T)=Cp,ref [1+a(T−Tref)]C_p(T) = C_{p,ref}\,[1 + a (T - T_{ref})]Cp​(T)=Cp,ref​[1+a(T−Tref​)]</t>
  </si>
  <si>
    <t>1. Perry &amp; Green – Chemical Engineers’ Handbook</t>
  </si>
  <si>
    <t>Cp variation small over moderate temperature range</t>
  </si>
  <si>
    <r>
      <t>2. Coulson &amp; Richardson</t>
    </r>
    <r>
      <rPr>
        <sz val="11"/>
        <color theme="1"/>
        <rFont val="Calibri"/>
        <family val="2"/>
        <scheme val="minor"/>
      </rPr>
      <t>, Vol 1</t>
    </r>
  </si>
  <si>
    <t>Cp often treated as constant or weak linear function</t>
  </si>
  <si>
    <t>3. VDI Heat Atlas</t>
  </si>
  <si>
    <t>Linear Cp approximations acceptable for HX rating</t>
  </si>
  <si>
    <t>Typical a values</t>
  </si>
  <si>
    <r>
      <t xml:space="preserve">Liquids: </t>
    </r>
    <r>
      <rPr>
        <b/>
        <sz val="11"/>
        <color theme="1"/>
        <rFont val="Calibri"/>
        <family val="2"/>
        <scheme val="minor"/>
      </rPr>
      <t>0.0001–0.0005 /°C</t>
    </r>
  </si>
  <si>
    <t>Aqueous solutions: lower end</t>
  </si>
  <si>
    <t>✔ Your values are conservative and realistic</t>
  </si>
  <si>
    <t>4️⃣ Thermal Conductivity – Weak Linear Dependence</t>
  </si>
  <si>
    <t>k(T)=kref [1−b(T−Tref)]k(T) = k_{ref}\,[1 - b (T - T_{ref})]k(T)=kref​[1−b(T−Tref​)]</t>
  </si>
  <si>
    <t>1. Incropera &amp; DeWitt</t>
  </si>
  <si>
    <t>Liquid thermal conductivity decreases slowly with temperature</t>
  </si>
  <si>
    <r>
      <t>2. VDI Heat Atlas</t>
    </r>
    <r>
      <rPr>
        <sz val="11"/>
        <color theme="1"/>
        <rFont val="Calibri"/>
        <family val="2"/>
        <scheme val="minor"/>
      </rPr>
      <t xml:space="preserve">, Section: </t>
    </r>
    <r>
      <rPr>
        <i/>
        <sz val="11"/>
        <color theme="1"/>
        <rFont val="Calibri"/>
        <family val="2"/>
        <scheme val="minor"/>
      </rPr>
      <t>Thermophysical Properties</t>
    </r>
  </si>
  <si>
    <t>Linear approximation acceptable for engineering HX calculations</t>
  </si>
  <si>
    <t>3. Perry’s Handbook</t>
  </si>
  <si>
    <t>k variation small compared to viscosity effects</t>
  </si>
  <si>
    <t>Typical b values</t>
  </si>
  <si>
    <r>
      <t xml:space="preserve">Liquids: </t>
    </r>
    <r>
      <rPr>
        <b/>
        <sz val="11"/>
        <color theme="1"/>
        <rFont val="Calibri"/>
        <family val="2"/>
        <scheme val="minor"/>
      </rPr>
      <t>0.0001–0.0004 /°C</t>
    </r>
  </si>
  <si>
    <t>Water: ~0.0002 /°C</t>
  </si>
  <si>
    <t>✔ Your values align perfectly with these ranges</t>
  </si>
  <si>
    <t>🧪 UTILITY FLUID DATA SOURCES</t>
  </si>
  <si>
    <t>For Cooling Water, BFW, Steam, Nitrogen:</t>
  </si>
  <si>
    <t>1. ASME Steam Tables</t>
  </si>
  <si>
    <t>Steam density, Cp, k, μ</t>
  </si>
  <si>
    <t>2. IAPWS (International Association for the Properties of Water and Steam)</t>
  </si>
  <si>
    <t>Water &amp; steam reference properties</t>
  </si>
  <si>
    <r>
      <t>3. Engineering Toolbox</t>
    </r>
    <r>
      <rPr>
        <sz val="11"/>
        <color theme="1"/>
        <rFont val="Calibri"/>
        <family val="2"/>
        <scheme val="minor"/>
      </rPr>
      <t xml:space="preserve"> (cross-checked values)</t>
    </r>
  </si>
  <si>
    <t>Widely used for preliminary design</t>
  </si>
  <si>
    <t>4. VDI Heat Atlas</t>
  </si>
  <si>
    <t>Utilities and heat transfer fluids</t>
  </si>
  <si>
    <t>References:</t>
  </si>
  <si>
    <t>Property correlations and constants are based on standard chemical engineering references including Perry &amp; Green (Chemical Engineers’ Handbook), Reid–Prausnitz–Poling (The Properties of Gases and Liquids), Coulson &amp; Richardson, Incropera &amp; DeWitt (Heat and Mass Transfer), VDI Heat Atlas, API Technical Data Book, ASME Steam Tables, and IAPWS formulations.</t>
  </si>
  <si>
    <t>Simplified correlations are used for preliminary design and troubleshooting purposes.</t>
  </si>
  <si>
    <t>Temperature Correction</t>
  </si>
  <si>
    <t>Yes</t>
  </si>
  <si>
    <t>PROCESS TEMPERATURES</t>
  </si>
  <si>
    <t>Tube-side Inlet Temperature</t>
  </si>
  <si>
    <t>Tube-side Outlet Temperature</t>
  </si>
  <si>
    <t>Shell-side Inlet Temperature</t>
  </si>
  <si>
    <t>Shell-side Outlet Temperature</t>
  </si>
  <si>
    <t>°C</t>
  </si>
  <si>
    <t>TEMPERATURE HELPERS</t>
  </si>
  <si>
    <t>Tube-side Mean Temperature</t>
  </si>
  <si>
    <t>Shell-side Mean Temperature</t>
  </si>
  <si>
    <t>Tube-side evaluation temperature</t>
  </si>
  <si>
    <t>Shell-side evaluation temperature</t>
  </si>
  <si>
    <t>Tube-side Heat Duty (Qₜ)</t>
  </si>
  <si>
    <t>Shell-side Heat Duty (Qₛ)</t>
  </si>
  <si>
    <t>kJ/h</t>
  </si>
  <si>
    <t>Heat Duty Mismatch</t>
  </si>
  <si>
    <t>Energy Balance Status</t>
  </si>
  <si>
    <t>Determine Hot Side</t>
  </si>
  <si>
    <t>ΔT1</t>
  </si>
  <si>
    <t>ΔT2</t>
  </si>
  <si>
    <t>LMTD</t>
  </si>
  <si>
    <t>HEAT DUTY FROM LMTD using U dirty</t>
  </si>
  <si>
    <t>LMTD Correction Factor Ft</t>
  </si>
  <si>
    <t>Qavg</t>
  </si>
  <si>
    <t>“Heat duty used for sizing and rating is taken as the average of tube-side and shell-side duties to minimize measurement bias and uncertainty.”</t>
  </si>
  <si>
    <t>Heat duty converted from kJ/h to W for area calculation.</t>
  </si>
  <si>
    <t>Flow Arrangement</t>
  </si>
  <si>
    <t>LMTD WARNING STATUS</t>
  </si>
  <si>
    <t>LMTD Status</t>
  </si>
  <si>
    <t>This Heat Exchanger Diagnostic Toolkit is intended for preliminary engineering analysis, performance evaluation, troubleshooting, and training purposes only based mainly on Bell-Delaware method. The calculations are based on standard chemical engineering correlations and user-provided inputs. This toolkit does not replace detailed design using licensed commercial software, statutory code compliance checks, or approval by competent authorities. All results must be independently reviewed and validated by qualified engineers before implementation.</t>
  </si>
  <si>
    <r>
      <t>jₕ</t>
    </r>
    <r>
      <rPr>
        <sz val="11"/>
        <color theme="1"/>
        <rFont val="Calibri"/>
        <family val="2"/>
        <scheme val="minor"/>
      </rPr>
      <t xml:space="preserve"> is a </t>
    </r>
    <r>
      <rPr>
        <b/>
        <sz val="11"/>
        <color theme="1"/>
        <rFont val="Calibri"/>
        <family val="2"/>
        <scheme val="minor"/>
      </rPr>
      <t>dimensionless heat-transfer factor</t>
    </r>
    <r>
      <rPr>
        <sz val="11"/>
        <color theme="1"/>
        <rFont val="Calibri"/>
        <family val="2"/>
        <scheme val="minor"/>
      </rPr>
      <t xml:space="preserve"> that represents:</t>
    </r>
  </si>
  <si>
    <r>
      <t xml:space="preserve">Ideal heat transfer for </t>
    </r>
    <r>
      <rPr>
        <b/>
        <sz val="11"/>
        <color theme="1"/>
        <rFont val="Calibri"/>
        <family val="2"/>
        <scheme val="minor"/>
      </rPr>
      <t>pure cross-flow over an infinite tube bundle</t>
    </r>
    <r>
      <rPr>
        <sz val="11"/>
        <color theme="1"/>
        <rFont val="Calibri"/>
        <family val="2"/>
        <scheme val="minor"/>
      </rPr>
      <t>,</t>
    </r>
  </si>
  <si>
    <r>
      <t xml:space="preserve">with </t>
    </r>
    <r>
      <rPr>
        <b/>
        <sz val="11"/>
        <color theme="1"/>
        <rFont val="Calibri"/>
        <family val="2"/>
        <scheme val="minor"/>
      </rPr>
      <t>no leakage, no bypassing, no baffle imperfections</t>
    </r>
    <r>
      <rPr>
        <sz val="11"/>
        <color theme="1"/>
        <rFont val="Calibri"/>
        <family val="2"/>
        <scheme val="minor"/>
      </rPr>
      <t>.</t>
    </r>
  </si>
  <si>
    <t>It is analogous to:</t>
  </si>
  <si>
    <r>
      <t>Nu–Re–Pr correlations</t>
    </r>
    <r>
      <rPr>
        <sz val="11"/>
        <color theme="1"/>
        <rFont val="Calibri"/>
        <family val="2"/>
        <scheme val="minor"/>
      </rPr>
      <t xml:space="preserve"> in pipe flow</t>
    </r>
  </si>
  <si>
    <r>
      <t xml:space="preserve">But developed </t>
    </r>
    <r>
      <rPr>
        <b/>
        <sz val="11"/>
        <color theme="1"/>
        <rFont val="Calibri"/>
        <family val="2"/>
        <scheme val="minor"/>
      </rPr>
      <t>specifically for tube bundles</t>
    </r>
  </si>
  <si>
    <t>Ideal Shell-Side Heat-Transfer j-Factor (jₕ)</t>
  </si>
  <si>
    <r>
      <t>jₕ</t>
    </r>
    <r>
      <rPr>
        <sz val="11"/>
        <color theme="1"/>
        <rFont val="Calibri"/>
        <family val="2"/>
        <scheme val="minor"/>
      </rPr>
      <t xml:space="preserve"> is the </t>
    </r>
    <r>
      <rPr>
        <b/>
        <sz val="11"/>
        <color theme="1"/>
        <rFont val="Calibri"/>
        <family val="2"/>
        <scheme val="minor"/>
      </rPr>
      <t>Colburn heat-transfer factor</t>
    </r>
    <r>
      <rPr>
        <sz val="11"/>
        <color theme="1"/>
        <rFont val="Calibri"/>
        <family val="2"/>
        <scheme val="minor"/>
      </rPr>
      <t xml:space="preserve"> for </t>
    </r>
    <r>
      <rPr>
        <b/>
        <sz val="11"/>
        <color theme="1"/>
        <rFont val="Calibri"/>
        <family val="2"/>
        <scheme val="minor"/>
      </rPr>
      <t>ideal cross-flow over a tube bundle</t>
    </r>
    <r>
      <rPr>
        <sz val="11"/>
        <color theme="1"/>
        <rFont val="Calibri"/>
        <family val="2"/>
        <scheme val="minor"/>
      </rPr>
      <t>, assuming:</t>
    </r>
  </si>
  <si>
    <t>No leakage</t>
  </si>
  <si>
    <t>No bypassing</t>
  </si>
  <si>
    <t>Uniform baffle spacing</t>
  </si>
  <si>
    <t>Perfect cross-flow</t>
  </si>
  <si>
    <r>
      <t xml:space="preserve">👉 In reality, exchangers are </t>
    </r>
    <r>
      <rPr>
        <i/>
        <sz val="11"/>
        <color theme="1"/>
        <rFont val="Calibri"/>
        <family val="2"/>
        <scheme val="minor"/>
      </rPr>
      <t>not ideal</t>
    </r>
    <r>
      <rPr>
        <sz val="11"/>
        <color theme="1"/>
        <rFont val="Calibri"/>
        <family val="2"/>
        <scheme val="minor"/>
      </rPr>
      <t xml:space="preserve">, so </t>
    </r>
    <r>
      <rPr>
        <b/>
        <sz val="11"/>
        <color theme="1"/>
        <rFont val="Calibri"/>
        <family val="2"/>
        <scheme val="minor"/>
      </rPr>
      <t>Bell–Delaware correction factors (Jc, Jl, Jb, Js, Jr)</t>
    </r>
    <r>
      <rPr>
        <sz val="11"/>
        <color theme="1"/>
        <rFont val="Calibri"/>
        <family val="2"/>
        <scheme val="minor"/>
      </rPr>
      <t xml:space="preserve"> are later applied.</t>
    </r>
  </si>
  <si>
    <r>
      <t xml:space="preserve">But </t>
    </r>
    <r>
      <rPr>
        <b/>
        <sz val="11"/>
        <color theme="1"/>
        <rFont val="Calibri"/>
        <family val="2"/>
        <scheme val="minor"/>
      </rPr>
      <t>jₕ is the starting point</t>
    </r>
    <r>
      <rPr>
        <sz val="11"/>
        <color theme="1"/>
        <rFont val="Calibri"/>
        <family val="2"/>
        <scheme val="minor"/>
      </rPr>
      <t>.</t>
    </r>
  </si>
  <si>
    <t>The shell-side heat-transfer coefficient is calculated as:</t>
  </si>
  <si>
    <t>Where:</t>
  </si>
  <si>
    <r>
      <t xml:space="preserve">➡️ </t>
    </r>
    <r>
      <rPr>
        <b/>
        <sz val="11"/>
        <color theme="1"/>
        <rFont val="Calibri"/>
        <family val="2"/>
        <scheme val="minor"/>
      </rPr>
      <t>If jₕ is wrong, everything downstream is wrong</t>
    </r>
    <r>
      <rPr>
        <sz val="11"/>
        <color theme="1"/>
        <rFont val="Calibri"/>
        <family val="2"/>
        <scheme val="minor"/>
      </rPr>
      <t>, even if all J-factors are perfect.</t>
    </r>
  </si>
  <si>
    <t>③ Empirical Origin of jₕ (Bell–Delaware Basis)</t>
  </si>
  <si>
    <r>
      <t xml:space="preserve">Developed from </t>
    </r>
    <r>
      <rPr>
        <b/>
        <sz val="11"/>
        <color theme="1"/>
        <rFont val="Calibri"/>
        <family val="2"/>
        <scheme val="minor"/>
      </rPr>
      <t>extensive experimental data</t>
    </r>
  </si>
  <si>
    <r>
      <t xml:space="preserve">Based on </t>
    </r>
    <r>
      <rPr>
        <b/>
        <sz val="11"/>
        <color theme="1"/>
        <rFont val="Calibri"/>
        <family val="2"/>
        <scheme val="minor"/>
      </rPr>
      <t>cross-flow over tube banks</t>
    </r>
  </si>
  <si>
    <t>Published in:</t>
  </si>
  <si>
    <t>Bell (1963)</t>
  </si>
  <si>
    <t>Delaware method reports</t>
  </si>
  <si>
    <r>
      <t xml:space="preserve">Incorporated into </t>
    </r>
    <r>
      <rPr>
        <b/>
        <sz val="11"/>
        <color theme="1"/>
        <rFont val="Calibri"/>
        <family val="2"/>
        <scheme val="minor"/>
      </rPr>
      <t>TEMA / HTRI practice</t>
    </r>
  </si>
  <si>
    <t>The correlation depends mainly on:</t>
  </si>
  <si>
    <t>Shell-side Reynolds number (Reₛ)</t>
  </si>
  <si>
    <r>
      <t>Tube layout</t>
    </r>
    <r>
      <rPr>
        <sz val="11"/>
        <color theme="1"/>
        <rFont val="Calibri"/>
        <family val="2"/>
        <scheme val="minor"/>
      </rPr>
      <t xml:space="preserve"> (triangular, square)</t>
    </r>
  </si>
  <si>
    <t>Pitch ratio (Pt/Do)</t>
  </si>
  <si>
    <t>Gs​ = shell-side mass velocity</t>
  </si>
  <si>
    <t>Pr = Prandtl number</t>
  </si>
  <si>
    <r>
      <t xml:space="preserve">jh​ = </t>
    </r>
    <r>
      <rPr>
        <b/>
        <sz val="11"/>
        <color theme="1"/>
        <rFont val="Calibri"/>
        <family val="2"/>
        <scheme val="minor"/>
      </rPr>
      <t>ideal heat-transfer factor</t>
    </r>
  </si>
  <si>
    <t>Standard Bell–Delaware Correlation Form</t>
  </si>
  <si>
    <r>
      <t xml:space="preserve">For </t>
    </r>
    <r>
      <rPr>
        <b/>
        <sz val="11"/>
        <color theme="1"/>
        <rFont val="Calibri"/>
        <family val="2"/>
        <scheme val="minor"/>
      </rPr>
      <t>turbulent flow (Reₛ &gt; 1000)</t>
    </r>
    <r>
      <rPr>
        <sz val="11"/>
        <color theme="1"/>
        <rFont val="Calibri"/>
        <family val="2"/>
        <scheme val="minor"/>
      </rPr>
      <t>, jₕ is commonly expressed as:</t>
    </r>
  </si>
  <si>
    <r>
      <t xml:space="preserve">Values depend on </t>
    </r>
    <r>
      <rPr>
        <b/>
        <sz val="11"/>
        <color theme="1"/>
        <rFont val="Calibri"/>
        <family val="2"/>
        <scheme val="minor"/>
      </rPr>
      <t>tube layout &amp; pitch</t>
    </r>
  </si>
  <si>
    <r>
      <t xml:space="preserve">a,b are </t>
    </r>
    <r>
      <rPr>
        <b/>
        <sz val="11"/>
        <color theme="1"/>
        <rFont val="Calibri"/>
        <family val="2"/>
        <scheme val="minor"/>
      </rPr>
      <t>empirical constants</t>
    </r>
  </si>
  <si>
    <t>a</t>
  </si>
  <si>
    <t>b</t>
  </si>
  <si>
    <t>Typical Values of Constants a and b</t>
  </si>
  <si>
    <t>🔹 For Triangular layout (30° or 60°)</t>
  </si>
  <si>
    <r>
      <t xml:space="preserve">For </t>
    </r>
    <r>
      <rPr>
        <b/>
        <sz val="11"/>
        <color theme="1"/>
        <rFont val="Calibri"/>
        <family val="2"/>
        <scheme val="minor"/>
      </rPr>
      <t>Square layout (90°)</t>
    </r>
  </si>
  <si>
    <t>Engineering insight</t>
  </si>
  <si>
    <t>Triangular → higher jₕ (better heat transfer)</t>
  </si>
  <si>
    <t>Square → lower jₕ but easier cleaning</t>
  </si>
  <si>
    <t>Practical Engineering Ranges (VERY USEFUL)</t>
  </si>
  <si>
    <t>Reₛ</t>
  </si>
  <si>
    <t>Typical jₕ</t>
  </si>
  <si>
    <t>0.01 – 0.02</t>
  </si>
  <si>
    <t>0.008 – 0.015</t>
  </si>
  <si>
    <t>0.004 – 0.008</t>
  </si>
  <si>
    <t>0.003 – 0.006</t>
  </si>
  <si>
    <r>
      <t xml:space="preserve">If your Excel shows </t>
    </r>
    <r>
      <rPr>
        <b/>
        <sz val="11"/>
        <color theme="1"/>
        <rFont val="Calibri"/>
        <family val="2"/>
        <scheme val="minor"/>
      </rPr>
      <t>jₕ outside this range</t>
    </r>
    <r>
      <rPr>
        <sz val="11"/>
        <color theme="1"/>
        <rFont val="Calibri"/>
        <family val="2"/>
        <scheme val="minor"/>
      </rPr>
      <t>, something is wrong.</t>
    </r>
  </si>
  <si>
    <t>Tube Layout</t>
  </si>
  <si>
    <t>Triangular</t>
  </si>
  <si>
    <t>Layout Angle</t>
  </si>
  <si>
    <t>Layout</t>
  </si>
  <si>
    <t>Pt/Do</t>
  </si>
  <si>
    <t>Square</t>
  </si>
  <si>
    <t>Pitch ratio Pt/Do</t>
  </si>
  <si>
    <t>Bell–Delaware ideal j-factor constants</t>
  </si>
  <si>
    <t>Interpolation of a and b based on calculated Pt/Do</t>
  </si>
  <si>
    <t>Lower bounding Pt/Do</t>
  </si>
  <si>
    <t>Upper bounding Pt/Do</t>
  </si>
  <si>
    <t>a1</t>
  </si>
  <si>
    <t>b1</t>
  </si>
  <si>
    <t>Interpolated a</t>
  </si>
  <si>
    <t>Interpolated b</t>
  </si>
  <si>
    <t>jh</t>
  </si>
  <si>
    <t>Jc : Baffle Cut &amp; Spacing Correction</t>
  </si>
  <si>
    <t>What Jc physically represents</t>
  </si>
  <si>
    <r>
      <t xml:space="preserve">Accounts for </t>
    </r>
    <r>
      <rPr>
        <b/>
        <sz val="11"/>
        <color theme="1"/>
        <rFont val="Calibri"/>
        <family val="2"/>
        <scheme val="minor"/>
      </rPr>
      <t>flow through baffle window zones</t>
    </r>
  </si>
  <si>
    <r>
      <t xml:space="preserve">Corrects the </t>
    </r>
    <r>
      <rPr>
        <b/>
        <sz val="11"/>
        <color theme="1"/>
        <rFont val="Calibri"/>
        <family val="2"/>
        <scheme val="minor"/>
      </rPr>
      <t>ideal cross-flow assumption</t>
    </r>
  </si>
  <si>
    <t>Depends mainly on:</t>
  </si>
  <si>
    <t>Baffle cut (%)</t>
  </si>
  <si>
    <t>Baffle spacing vs shell diameter</t>
  </si>
  <si>
    <r>
      <t xml:space="preserve">Jc is usually </t>
    </r>
    <r>
      <rPr>
        <b/>
        <sz val="11"/>
        <color theme="1"/>
        <rFont val="Calibri"/>
        <family val="2"/>
        <scheme val="minor"/>
      </rPr>
      <t>&lt; 1.0</t>
    </r>
    <r>
      <rPr>
        <sz val="11"/>
        <color theme="1"/>
        <rFont val="Calibri"/>
        <family val="2"/>
        <scheme val="minor"/>
      </rPr>
      <t xml:space="preserve"> and typically </t>
    </r>
    <r>
      <rPr>
        <b/>
        <sz val="11"/>
        <color theme="1"/>
        <rFont val="Calibri"/>
        <family val="2"/>
        <scheme val="minor"/>
      </rPr>
      <t>0.55 – 0.95</t>
    </r>
  </si>
  <si>
    <t>BELL–DELAWARE Jc CORRELATION (PRACTICAL FORM)</t>
  </si>
  <si>
    <r>
      <t xml:space="preserve">A widely used </t>
    </r>
    <r>
      <rPr>
        <b/>
        <sz val="11"/>
        <color theme="1"/>
        <rFont val="Calibri"/>
        <family val="2"/>
        <scheme val="minor"/>
      </rPr>
      <t>engineering approximation</t>
    </r>
    <r>
      <rPr>
        <sz val="11"/>
        <color theme="1"/>
        <rFont val="Calibri"/>
        <family val="2"/>
        <scheme val="minor"/>
      </rPr>
      <t xml:space="preserve"> for Jc is:</t>
    </r>
  </si>
  <si>
    <r>
      <t xml:space="preserve">Depends mainly on </t>
    </r>
    <r>
      <rPr>
        <b/>
        <sz val="11"/>
        <color theme="1"/>
        <rFont val="Calibri"/>
        <family val="2"/>
        <scheme val="minor"/>
      </rPr>
      <t>baffle cut</t>
    </r>
  </si>
  <si>
    <t>Practical approximation:</t>
  </si>
  <si>
    <r>
      <t xml:space="preserve">This is </t>
    </r>
    <r>
      <rPr>
        <b/>
        <sz val="11"/>
        <color theme="1"/>
        <rFont val="Calibri"/>
        <family val="2"/>
        <scheme val="minor"/>
      </rPr>
      <t>HTRI-consistent for rating/troubleshooting</t>
    </r>
    <r>
      <rPr>
        <sz val="11"/>
        <color theme="1"/>
        <rFont val="Calibri"/>
        <family val="2"/>
        <scheme val="minor"/>
      </rPr>
      <t xml:space="preserve"> tools</t>
    </r>
  </si>
  <si>
    <r>
      <t xml:space="preserve">Fw​ = </t>
    </r>
    <r>
      <rPr>
        <b/>
        <sz val="11"/>
        <color theme="1"/>
        <rFont val="Calibri"/>
        <family val="2"/>
        <scheme val="minor"/>
      </rPr>
      <t>window flow fraction</t>
    </r>
  </si>
  <si>
    <t>Fw≈Baffle cut fraction</t>
  </si>
  <si>
    <t>Data validation (recommended)</t>
  </si>
  <si>
    <r>
      <t>Baffle Cut (%)</t>
    </r>
    <r>
      <rPr>
        <sz val="11"/>
        <color theme="1"/>
        <rFont val="Calibri"/>
        <family val="2"/>
        <scheme val="minor"/>
      </rPr>
      <t xml:space="preserve">: Min </t>
    </r>
    <r>
      <rPr>
        <b/>
        <sz val="11"/>
        <color theme="1"/>
        <rFont val="Calibri"/>
        <family val="2"/>
        <scheme val="minor"/>
      </rPr>
      <t>15</t>
    </r>
    <r>
      <rPr>
        <sz val="11"/>
        <color theme="1"/>
        <rFont val="Calibri"/>
        <family val="2"/>
        <scheme val="minor"/>
      </rPr>
      <t xml:space="preserve">, Max </t>
    </r>
    <r>
      <rPr>
        <b/>
        <sz val="11"/>
        <color theme="1"/>
        <rFont val="Calibri"/>
        <family val="2"/>
        <scheme val="minor"/>
      </rPr>
      <t>50</t>
    </r>
  </si>
  <si>
    <r>
      <t>Lb/Ds</t>
    </r>
    <r>
      <rPr>
        <sz val="11"/>
        <color theme="1"/>
        <rFont val="Calibri"/>
        <family val="2"/>
        <scheme val="minor"/>
      </rPr>
      <t xml:space="preserve"> typical range: </t>
    </r>
    <r>
      <rPr>
        <b/>
        <sz val="11"/>
        <color theme="1"/>
        <rFont val="Calibri"/>
        <family val="2"/>
        <scheme val="minor"/>
      </rPr>
      <t>0.2 – 1.0</t>
    </r>
  </si>
  <si>
    <t>Baffle Cut</t>
  </si>
  <si>
    <t>Baffle spacing ratio (Lb/Ds)</t>
  </si>
  <si>
    <t>Typical range: 0.2 – 1.0</t>
  </si>
  <si>
    <t>Baffle cut fraction</t>
  </si>
  <si>
    <t>Final Jc</t>
  </si>
  <si>
    <t>Jc never &gt; 1.0, Jc never unrealistically low</t>
  </si>
  <si>
    <t>Jl : Leakage Correction Factor</t>
  </si>
  <si>
    <t>What Jl represents (plain English)</t>
  </si>
  <si>
    <r>
      <t xml:space="preserve">Jl accounts for </t>
    </r>
    <r>
      <rPr>
        <b/>
        <sz val="11"/>
        <color theme="1"/>
        <rFont val="Calibri"/>
        <family val="2"/>
        <scheme val="minor"/>
      </rPr>
      <t>shell-side leakage flows</t>
    </r>
    <r>
      <rPr>
        <sz val="11"/>
        <color theme="1"/>
        <rFont val="Calibri"/>
        <family val="2"/>
        <scheme val="minor"/>
      </rPr>
      <t xml:space="preserve"> that </t>
    </r>
    <r>
      <rPr>
        <b/>
        <sz val="11"/>
        <color theme="1"/>
        <rFont val="Calibri"/>
        <family val="2"/>
        <scheme val="minor"/>
      </rPr>
      <t>do NOT participate in effective cross-flow heat transfer</t>
    </r>
    <r>
      <rPr>
        <sz val="11"/>
        <color theme="1"/>
        <rFont val="Calibri"/>
        <family val="2"/>
        <scheme val="minor"/>
      </rPr>
      <t>, mainly:</t>
    </r>
  </si>
  <si>
    <r>
      <t>1. Shell-to-baffle leakage</t>
    </r>
    <r>
      <rPr>
        <sz val="11"/>
        <color theme="1"/>
        <rFont val="Calibri"/>
        <family val="2"/>
        <scheme val="minor"/>
      </rPr>
      <t xml:space="preserve"> (gap between shell ID and baffle OD)</t>
    </r>
  </si>
  <si>
    <r>
      <t>2. Tube-to-baffle leakage</t>
    </r>
    <r>
      <rPr>
        <sz val="11"/>
        <color theme="1"/>
        <rFont val="Calibri"/>
        <family val="2"/>
        <scheme val="minor"/>
      </rPr>
      <t xml:space="preserve"> (clearance between tube OD and baffle hole)</t>
    </r>
  </si>
  <si>
    <r>
      <t xml:space="preserve">These leakages </t>
    </r>
    <r>
      <rPr>
        <b/>
        <sz val="11"/>
        <color theme="1"/>
        <rFont val="Calibri"/>
        <family val="2"/>
        <scheme val="minor"/>
      </rPr>
      <t>reduce effective heat transfer</t>
    </r>
    <r>
      <rPr>
        <sz val="11"/>
        <color theme="1"/>
        <rFont val="Calibri"/>
        <family val="2"/>
        <scheme val="minor"/>
      </rPr>
      <t>, so:</t>
    </r>
  </si>
  <si>
    <t>Jl ≤ 1.0</t>
  </si>
  <si>
    <r>
      <t xml:space="preserve">Typical range: </t>
    </r>
    <r>
      <rPr>
        <b/>
        <sz val="11"/>
        <color theme="1"/>
        <rFont val="Calibri"/>
        <family val="2"/>
        <scheme val="minor"/>
      </rPr>
      <t>0.60 – 0.95</t>
    </r>
  </si>
  <si>
    <t>These clearances are NOT calculated by the process engineer.</t>
  </si>
  <si>
    <r>
      <t xml:space="preserve">They are </t>
    </r>
    <r>
      <rPr>
        <b/>
        <sz val="11"/>
        <color theme="1"/>
        <rFont val="Calibri"/>
        <family val="2"/>
        <scheme val="minor"/>
      </rPr>
      <t>mechanical / fabrication allowances provided by the heat-exchanger vendor</t>
    </r>
    <r>
      <rPr>
        <sz val="11"/>
        <color theme="1"/>
        <rFont val="Calibri"/>
        <family val="2"/>
        <scheme val="minor"/>
      </rPr>
      <t xml:space="preserve">, usually based on </t>
    </r>
    <r>
      <rPr>
        <b/>
        <sz val="11"/>
        <color theme="1"/>
        <rFont val="Calibri"/>
        <family val="2"/>
        <scheme val="minor"/>
      </rPr>
      <t>TEMA standards</t>
    </r>
    <r>
      <rPr>
        <sz val="11"/>
        <color theme="1"/>
        <rFont val="Calibri"/>
        <family val="2"/>
        <scheme val="minor"/>
      </rPr>
      <t>.</t>
    </r>
  </si>
  <si>
    <t>Shell-to-Baffle Diametral Clearance</t>
  </si>
  <si>
    <t>What it is</t>
  </si>
  <si>
    <r>
      <t xml:space="preserve">The radial gap between </t>
    </r>
    <r>
      <rPr>
        <b/>
        <sz val="11"/>
        <color theme="1"/>
        <rFont val="Calibri"/>
        <family val="2"/>
        <scheme val="minor"/>
      </rPr>
      <t>shell ID</t>
    </r>
    <r>
      <rPr>
        <sz val="11"/>
        <color theme="1"/>
        <rFont val="Calibri"/>
        <family val="2"/>
        <scheme val="minor"/>
      </rPr>
      <t xml:space="preserve"> and </t>
    </r>
    <r>
      <rPr>
        <b/>
        <sz val="11"/>
        <color theme="1"/>
        <rFont val="Calibri"/>
        <family val="2"/>
        <scheme val="minor"/>
      </rPr>
      <t>baffle OD</t>
    </r>
  </si>
  <si>
    <t>Allows:</t>
  </si>
  <si>
    <t>Fabrication tolerance</t>
  </si>
  <si>
    <t>Thermal expansion</t>
  </si>
  <si>
    <t>Assembly &amp; insertion of baffles</t>
  </si>
  <si>
    <t>Who decides it</t>
  </si>
  <si>
    <t>Vendor / mechanical design</t>
  </si>
  <si>
    <t>Based on:</t>
  </si>
  <si>
    <t>Shell diameter</t>
  </si>
  <si>
    <t>TEMA class (R, B, C)</t>
  </si>
  <si>
    <t>Fabrication practice</t>
  </si>
  <si>
    <t>Typical TEMA guidance (order of magnitude)</t>
  </si>
  <si>
    <t>Shell ID (mm)</t>
  </si>
  <si>
    <t>Typical diametral clearance (mm)</t>
  </si>
  <si>
    <t>&lt; 600</t>
  </si>
  <si>
    <t>2–3</t>
  </si>
  <si>
    <t>600–1000</t>
  </si>
  <si>
    <t>3–4</t>
  </si>
  <si>
    <t>1000–1500</t>
  </si>
  <si>
    <t>4–5</t>
  </si>
  <si>
    <t>&gt; 1500</t>
  </si>
  <si>
    <t>5–6</t>
  </si>
  <si>
    <r>
      <t xml:space="preserve">📌 </t>
    </r>
    <r>
      <rPr>
        <b/>
        <sz val="11"/>
        <color theme="1"/>
        <rFont val="Calibri"/>
        <family val="2"/>
        <scheme val="minor"/>
      </rPr>
      <t>Process engineer does not calculate this</t>
    </r>
    <r>
      <rPr>
        <sz val="11"/>
        <color theme="1"/>
        <rFont val="Calibri"/>
        <family val="2"/>
        <scheme val="minor"/>
      </rPr>
      <t xml:space="preserve"> — you </t>
    </r>
    <r>
      <rPr>
        <i/>
        <sz val="11"/>
        <color theme="1"/>
        <rFont val="Calibri"/>
        <family val="2"/>
        <scheme val="minor"/>
      </rPr>
      <t>assume</t>
    </r>
    <r>
      <rPr>
        <sz val="11"/>
        <color theme="1"/>
        <rFont val="Calibri"/>
        <family val="2"/>
        <scheme val="minor"/>
      </rPr>
      <t xml:space="preserve"> or </t>
    </r>
    <r>
      <rPr>
        <i/>
        <sz val="11"/>
        <color theme="1"/>
        <rFont val="Calibri"/>
        <family val="2"/>
        <scheme val="minor"/>
      </rPr>
      <t>take from datasheet</t>
    </r>
    <r>
      <rPr>
        <sz val="11"/>
        <color theme="1"/>
        <rFont val="Calibri"/>
        <family val="2"/>
        <scheme val="minor"/>
      </rPr>
      <t>.</t>
    </r>
  </si>
  <si>
    <t>2️⃣ Tube-to-Baffle Diametral Clearance</t>
  </si>
  <si>
    <r>
      <t xml:space="preserve">Clearance between </t>
    </r>
    <r>
      <rPr>
        <b/>
        <sz val="11"/>
        <color theme="1"/>
        <rFont val="Calibri"/>
        <family val="2"/>
        <scheme val="minor"/>
      </rPr>
      <t>tube OD</t>
    </r>
    <r>
      <rPr>
        <sz val="11"/>
        <color theme="1"/>
        <rFont val="Calibri"/>
        <family val="2"/>
        <scheme val="minor"/>
      </rPr>
      <t xml:space="preserve"> and </t>
    </r>
    <r>
      <rPr>
        <b/>
        <sz val="11"/>
        <color theme="1"/>
        <rFont val="Calibri"/>
        <family val="2"/>
        <scheme val="minor"/>
      </rPr>
      <t>baffle hole</t>
    </r>
  </si>
  <si>
    <t>Needed for:</t>
  </si>
  <si>
    <t>Tube insertion</t>
  </si>
  <si>
    <t>Tube replacement</t>
  </si>
  <si>
    <t>Vendor</t>
  </si>
  <si>
    <t>Tube OD</t>
  </si>
  <si>
    <t>Tube material</t>
  </si>
  <si>
    <t>TEMA class</t>
  </si>
  <si>
    <t>Typical TEMA values</t>
  </si>
  <si>
    <t>Diametral clearance (mm)</t>
  </si>
  <si>
    <t>12–19 mm</t>
  </si>
  <si>
    <t>0.4–0.8</t>
  </si>
  <si>
    <t>25 mm</t>
  </si>
  <si>
    <t>0.8–1.2</t>
  </si>
  <si>
    <t>≥ 38 mm</t>
  </si>
  <si>
    <t>1.0–1.5</t>
  </si>
  <si>
    <r>
      <t xml:space="preserve">Again: </t>
    </r>
    <r>
      <rPr>
        <b/>
        <sz val="11"/>
        <color theme="1"/>
        <rFont val="Calibri"/>
        <family val="2"/>
        <scheme val="minor"/>
      </rPr>
      <t>not calculated by process</t>
    </r>
    <r>
      <rPr>
        <sz val="11"/>
        <color theme="1"/>
        <rFont val="Calibri"/>
        <family val="2"/>
        <scheme val="minor"/>
      </rPr>
      <t>.</t>
    </r>
  </si>
  <si>
    <t>Clearances are vendor-defined mechanical inputs; process engineers only use them for performance correction, not for design.</t>
  </si>
  <si>
    <t>Shell-Baffle Clearance</t>
  </si>
  <si>
    <t>Tube-Baffle Clearance</t>
  </si>
  <si>
    <t>Shell-to-baffle leakage area (Asb)</t>
  </si>
  <si>
    <t>Tube-to-baffle leakage area (Atb)</t>
  </si>
  <si>
    <t>Total leakage area (Al)</t>
  </si>
  <si>
    <t>EFFECTIVE CROSS-FLOW AREA (Ac)</t>
  </si>
  <si>
    <t>Leakage Area Ratio</t>
  </si>
  <si>
    <t>Typical values: Typical values: 0.01 – 0.15 → normal, &gt; 0.25 → excessive leakage</t>
  </si>
  <si>
    <t>JL</t>
  </si>
  <si>
    <t>Final Jl</t>
  </si>
  <si>
    <t>mm2</t>
  </si>
  <si>
    <t>Jb: Bundle Bypass Correction</t>
  </si>
  <si>
    <t>What Jb represents (plain English)</t>
  </si>
  <si>
    <r>
      <t xml:space="preserve">This bypassed flow </t>
    </r>
    <r>
      <rPr>
        <b/>
        <sz val="11"/>
        <color theme="1"/>
        <rFont val="Calibri"/>
        <family val="2"/>
        <scheme val="minor"/>
      </rPr>
      <t>does not effectively transfer heat</t>
    </r>
    <r>
      <rPr>
        <sz val="11"/>
        <color theme="1"/>
        <rFont val="Calibri"/>
        <family val="2"/>
        <scheme val="minor"/>
      </rPr>
      <t>, so it reduces shell-side performance.</t>
    </r>
  </si>
  <si>
    <t>Jb ≤ 1.0</t>
  </si>
  <si>
    <r>
      <t xml:space="preserve">Typical range: </t>
    </r>
    <r>
      <rPr>
        <b/>
        <sz val="11"/>
        <color theme="1"/>
        <rFont val="Calibri"/>
        <family val="2"/>
        <scheme val="minor"/>
      </rPr>
      <t>0.70 – 1.00</t>
    </r>
  </si>
  <si>
    <r>
      <t xml:space="preserve">Most impactful for </t>
    </r>
    <r>
      <rPr>
        <b/>
        <sz val="11"/>
        <color theme="1"/>
        <rFont val="Calibri"/>
        <family val="2"/>
        <scheme val="minor"/>
      </rPr>
      <t>large shells / small bundles</t>
    </r>
  </si>
  <si>
    <t>Bundle bypass gap (radial)</t>
  </si>
  <si>
    <t>Bypass area fraction (simplified)</t>
  </si>
  <si>
    <t>Final Jb</t>
  </si>
  <si>
    <t>Tube Bundle Outside Diameter (Db) is NOT calculated by the process engineer.</t>
  </si>
  <si>
    <r>
      <t xml:space="preserve">It is a </t>
    </r>
    <r>
      <rPr>
        <b/>
        <sz val="11"/>
        <color theme="1"/>
        <rFont val="Calibri"/>
        <family val="2"/>
        <scheme val="minor"/>
      </rPr>
      <t>mechanical layout result</t>
    </r>
    <r>
      <rPr>
        <sz val="11"/>
        <color theme="1"/>
        <rFont val="Calibri"/>
        <family val="2"/>
        <scheme val="minor"/>
      </rPr>
      <t xml:space="preserve"> provided by the </t>
    </r>
    <r>
      <rPr>
        <b/>
        <sz val="11"/>
        <color theme="1"/>
        <rFont val="Calibri"/>
        <family val="2"/>
        <scheme val="minor"/>
      </rPr>
      <t>HE vendor</t>
    </r>
    <r>
      <rPr>
        <sz val="11"/>
        <color theme="1"/>
        <rFont val="Calibri"/>
        <family val="2"/>
        <scheme val="minor"/>
      </rPr>
      <t xml:space="preserve"> (or derived from tube count &amp; layout during mechanical design).</t>
    </r>
  </si>
  <si>
    <t>As a process engineer / consultant:</t>
  </si>
  <si>
    <r>
      <t xml:space="preserve">You </t>
    </r>
    <r>
      <rPr>
        <b/>
        <sz val="11"/>
        <color theme="1"/>
        <rFont val="Calibri"/>
        <family val="2"/>
        <scheme val="minor"/>
      </rPr>
      <t>take Db from datasheet</t>
    </r>
    <r>
      <rPr>
        <sz val="11"/>
        <color theme="1"/>
        <rFont val="Calibri"/>
        <family val="2"/>
        <scheme val="minor"/>
      </rPr>
      <t>, OR</t>
    </r>
  </si>
  <si>
    <r>
      <t xml:space="preserve">You </t>
    </r>
    <r>
      <rPr>
        <b/>
        <sz val="11"/>
        <color theme="1"/>
        <rFont val="Calibri"/>
        <family val="2"/>
        <scheme val="minor"/>
      </rPr>
      <t>estimate it conservatively</t>
    </r>
    <r>
      <rPr>
        <sz val="11"/>
        <color theme="1"/>
        <rFont val="Calibri"/>
        <family val="2"/>
        <scheme val="minor"/>
      </rPr>
      <t xml:space="preserve"> using accepted rules </t>
    </r>
    <r>
      <rPr>
        <b/>
        <sz val="11"/>
        <color theme="1"/>
        <rFont val="Calibri"/>
        <family val="2"/>
        <scheme val="minor"/>
      </rPr>
      <t>only for rating / troubleshooting</t>
    </r>
  </si>
  <si>
    <r>
      <t xml:space="preserve">Jb accounts for </t>
    </r>
    <r>
      <rPr>
        <b/>
        <sz val="11"/>
        <color theme="1"/>
        <rFont val="Calibri"/>
        <family val="2"/>
        <scheme val="minor"/>
      </rPr>
      <t>shell-side fluid bypassing the tube bundle</t>
    </r>
    <r>
      <rPr>
        <sz val="11"/>
        <color theme="1"/>
        <rFont val="Calibri"/>
        <family val="2"/>
        <scheme val="minor"/>
      </rPr>
      <t xml:space="preserve"> through the </t>
    </r>
    <r>
      <rPr>
        <b/>
        <sz val="11"/>
        <color theme="1"/>
        <rFont val="Calibri"/>
        <family val="2"/>
        <scheme val="minor"/>
      </rPr>
      <t>gap between the tube bundle OD (Db) and the shell ID</t>
    </r>
    <r>
      <rPr>
        <sz val="11"/>
        <color theme="1"/>
        <rFont val="Calibri"/>
        <family val="2"/>
        <scheme val="minor"/>
      </rPr>
      <t>.</t>
    </r>
  </si>
  <si>
    <r>
      <t xml:space="preserve">Db = </t>
    </r>
    <r>
      <rPr>
        <b/>
        <sz val="11"/>
        <color theme="1"/>
        <rFont val="Calibri"/>
        <family val="2"/>
        <scheme val="minor"/>
      </rPr>
      <t>outside diameter of the tube bundle</t>
    </r>
  </si>
  <si>
    <t>Includes:</t>
  </si>
  <si>
    <t>Tube layout</t>
  </si>
  <si>
    <t>Peripheral tubes</t>
  </si>
  <si>
    <t>Excludes:</t>
  </si>
  <si>
    <t>Shell thickness</t>
  </si>
  <si>
    <t>Shell-to-bundle clearance</t>
  </si>
  <si>
    <t>WHO DEFINES Db?</t>
  </si>
  <si>
    <t>1️⃣ For NEW exchangers</t>
  </si>
  <si>
    <t>Vendor mechanical design</t>
  </si>
  <si>
    <t>Tube count</t>
  </si>
  <si>
    <t>Tube layout (triangular/square)</t>
  </si>
  <si>
    <t>Pitch</t>
  </si>
  <si>
    <t>2️⃣ For EXISTING exchangers</t>
  </si>
  <si>
    <t>Mechanical datasheet</t>
  </si>
  <si>
    <t>GA drawing</t>
  </si>
  <si>
    <t>Vendor documentation</t>
  </si>
  <si>
    <r>
      <t xml:space="preserve">👉 </t>
    </r>
    <r>
      <rPr>
        <b/>
        <sz val="11"/>
        <color theme="1"/>
        <rFont val="Calibri"/>
        <family val="2"/>
        <scheme val="minor"/>
      </rPr>
      <t>Process engineer does not “optimize” Db</t>
    </r>
    <r>
      <rPr>
        <sz val="11"/>
        <color theme="1"/>
        <rFont val="Calibri"/>
        <family val="2"/>
        <scheme val="minor"/>
      </rPr>
      <t>.</t>
    </r>
  </si>
  <si>
    <r>
      <t xml:space="preserve">You may estimate Db </t>
    </r>
    <r>
      <rPr>
        <b/>
        <sz val="11"/>
        <color theme="1"/>
        <rFont val="Calibri"/>
        <family val="2"/>
        <scheme val="minor"/>
      </rPr>
      <t>only when</t>
    </r>
    <r>
      <rPr>
        <sz val="11"/>
        <color theme="1"/>
        <rFont val="Calibri"/>
        <family val="2"/>
        <scheme val="minor"/>
      </rPr>
      <t>:</t>
    </r>
  </si>
  <si>
    <t>Vendor data is unavailable</t>
  </si>
  <si>
    <r>
      <t xml:space="preserve">You are doing </t>
    </r>
    <r>
      <rPr>
        <b/>
        <sz val="11"/>
        <color theme="1"/>
        <rFont val="Calibri"/>
        <family val="2"/>
        <scheme val="minor"/>
      </rPr>
      <t>rating / troubleshooting</t>
    </r>
  </si>
  <si>
    <t>You need Jb (bundle bypass correction)</t>
  </si>
  <si>
    <r>
      <t xml:space="preserve">This is acceptable </t>
    </r>
    <r>
      <rPr>
        <b/>
        <sz val="11"/>
        <color theme="1"/>
        <rFont val="Calibri"/>
        <family val="2"/>
        <scheme val="minor"/>
      </rPr>
      <t>if clearly documented as an estimate</t>
    </r>
    <r>
      <rPr>
        <sz val="11"/>
        <color theme="1"/>
        <rFont val="Calibri"/>
        <family val="2"/>
        <scheme val="minor"/>
      </rPr>
      <t>.</t>
    </r>
  </si>
  <si>
    <t>A commonly used approximation:</t>
  </si>
  <si>
    <r>
      <t xml:space="preserve">Where </t>
    </r>
    <r>
      <rPr>
        <b/>
        <sz val="11"/>
        <color theme="1"/>
        <rFont val="Calibri"/>
        <family val="2"/>
        <scheme val="minor"/>
      </rPr>
      <t>K</t>
    </r>
    <r>
      <rPr>
        <sz val="11"/>
        <color theme="1"/>
        <rFont val="Calibri"/>
        <family val="2"/>
        <scheme val="minor"/>
      </rPr>
      <t xml:space="preserve"> depends on layout:</t>
    </r>
  </si>
  <si>
    <t>K (typical)</t>
  </si>
  <si>
    <t>Triangular (30°/60°)</t>
  </si>
  <si>
    <t>Square (90°)</t>
  </si>
  <si>
    <t>SIMPLER RULE-OF-THUMB (VERY COMMON)</t>
  </si>
  <si>
    <t>Many consultants use:</t>
  </si>
  <si>
    <t>Rule</t>
  </si>
  <si>
    <t>Db ≈ 0.90 × Ds</t>
  </si>
  <si>
    <t>Db ≈ 0.93 × Ds</t>
  </si>
  <si>
    <r>
      <t xml:space="preserve">Where </t>
    </r>
    <r>
      <rPr>
        <b/>
        <sz val="11"/>
        <color theme="1"/>
        <rFont val="Calibri"/>
        <family val="2"/>
        <scheme val="minor"/>
      </rPr>
      <t>Ds = shell inside diameter</t>
    </r>
  </si>
  <si>
    <r>
      <t xml:space="preserve">This is acceptable </t>
    </r>
    <r>
      <rPr>
        <b/>
        <sz val="11"/>
        <color theme="1"/>
        <rFont val="Calibri"/>
        <family val="2"/>
        <scheme val="minor"/>
      </rPr>
      <t>for troubleshooting tools</t>
    </r>
    <r>
      <rPr>
        <sz val="11"/>
        <color theme="1"/>
        <rFont val="Calibri"/>
        <family val="2"/>
        <scheme val="minor"/>
      </rPr>
      <t>.</t>
    </r>
  </si>
  <si>
    <t>Tube Bundle OD Db</t>
  </si>
  <si>
    <t>Tube Bundle OD (Db) (ENGINEERING METHOD)</t>
  </si>
  <si>
    <t>tube-count-based approximation</t>
  </si>
  <si>
    <r>
      <t xml:space="preserve">Layout constant </t>
    </r>
    <r>
      <rPr>
        <b/>
        <sz val="11"/>
        <color theme="1"/>
        <rFont val="Calibri"/>
        <family val="2"/>
        <scheme val="minor"/>
      </rPr>
      <t>K</t>
    </r>
  </si>
  <si>
    <t>Triangular packs tubes more efficiently</t>
  </si>
  <si>
    <t>Square is less compact</t>
  </si>
  <si>
    <t>Estimated Db (from tube count)</t>
  </si>
  <si>
    <t>Estimated from tube count and pitch. Use for rating only.</t>
  </si>
  <si>
    <t>Final Db used in calculations</t>
  </si>
  <si>
    <t>Compare Db vs Shell ID.</t>
  </si>
  <si>
    <t>Typical:</t>
  </si>
  <si>
    <r>
      <t xml:space="preserve">Db/Ds ≈ </t>
    </r>
    <r>
      <rPr>
        <b/>
        <sz val="11"/>
        <color theme="1"/>
        <rFont val="Calibri"/>
        <family val="2"/>
        <scheme val="minor"/>
      </rPr>
      <t>0.85 – 0.95</t>
    </r>
  </si>
  <si>
    <t>Jb_raw</t>
  </si>
  <si>
    <t>Js: Unequal Baffle Spacing Correction</t>
  </si>
  <si>
    <t>What Js represents (plain English)</t>
  </si>
  <si>
    <r>
      <t xml:space="preserve">Js corrects shell-side heat transfer when </t>
    </r>
    <r>
      <rPr>
        <b/>
        <sz val="11"/>
        <color theme="1"/>
        <rFont val="Calibri"/>
        <family val="2"/>
        <scheme val="minor"/>
      </rPr>
      <t>inlet and/or outlet baffle spacing differs from the central (uniform) baffle spacing</t>
    </r>
    <r>
      <rPr>
        <sz val="11"/>
        <color theme="1"/>
        <rFont val="Calibri"/>
        <family val="2"/>
        <scheme val="minor"/>
      </rPr>
      <t>.</t>
    </r>
  </si>
  <si>
    <t>This happens because:</t>
  </si>
  <si>
    <t>Extra space near nozzles is often provided</t>
  </si>
  <si>
    <r>
      <t xml:space="preserve">Flow there is </t>
    </r>
    <r>
      <rPr>
        <b/>
        <sz val="11"/>
        <color theme="1"/>
        <rFont val="Calibri"/>
        <family val="2"/>
        <scheme val="minor"/>
      </rPr>
      <t>less effective cross-flow</t>
    </r>
  </si>
  <si>
    <r>
      <t xml:space="preserve">Ideal correlations assume </t>
    </r>
    <r>
      <rPr>
        <b/>
        <sz val="11"/>
        <color theme="1"/>
        <rFont val="Calibri"/>
        <family val="2"/>
        <scheme val="minor"/>
      </rPr>
      <t>equal spacing everywhere</t>
    </r>
  </si>
  <si>
    <r>
      <t>Js ≤ 1.0</t>
    </r>
    <r>
      <rPr>
        <sz val="11"/>
        <color theme="1"/>
        <rFont val="Calibri"/>
        <family val="2"/>
        <scheme val="minor"/>
      </rPr>
      <t xml:space="preserve">, typically </t>
    </r>
    <r>
      <rPr>
        <b/>
        <sz val="11"/>
        <color theme="1"/>
        <rFont val="Calibri"/>
        <family val="2"/>
        <scheme val="minor"/>
      </rPr>
      <t>0.85 – 1.00</t>
    </r>
  </si>
  <si>
    <t>If inlet and outlet baffle spacing are not given, assume them equal to the central baffle spacing.</t>
  </si>
  <si>
    <t>Who defines inlet/outlet spacing?</t>
  </si>
  <si>
    <t>Mechanical design / vendor</t>
  </si>
  <si>
    <t>Shown only on:</t>
  </si>
  <si>
    <t>GA drawings</t>
  </si>
  <si>
    <t>Detailed mechanical datasheets</t>
  </si>
  <si>
    <r>
      <t xml:space="preserve">Process engineers </t>
    </r>
    <r>
      <rPr>
        <b/>
        <sz val="11"/>
        <color theme="1"/>
        <rFont val="Calibri"/>
        <family val="2"/>
        <scheme val="minor"/>
      </rPr>
      <t>are not expected</t>
    </r>
    <r>
      <rPr>
        <sz val="11"/>
        <color theme="1"/>
        <rFont val="Calibri"/>
        <family val="2"/>
        <scheme val="minor"/>
      </rPr>
      <t xml:space="preserve"> to invent these values.</t>
    </r>
  </si>
  <si>
    <t>Inlet Baffle Spacing (Lb_in)</t>
  </si>
  <si>
    <t>Outlet Baffle Spacing (Lb_out)</t>
  </si>
  <si>
    <t>In case Inlet and outlet baffle spacings were not available; therefore, equal spacing was assumed and no Js correction was applied.</t>
  </si>
  <si>
    <t>Js raw</t>
  </si>
  <si>
    <t>Inlet spacing ratio</t>
  </si>
  <si>
    <t>Outlet spacing ratio</t>
  </si>
  <si>
    <t>Jr Laminar flow correction</t>
  </si>
  <si>
    <t>Jr: Laminar Flow Correction</t>
  </si>
  <si>
    <t>What Jr represents (plain English)</t>
  </si>
  <si>
    <r>
      <t xml:space="preserve">Jr corrects shell-side heat transfer </t>
    </r>
    <r>
      <rPr>
        <b/>
        <sz val="11"/>
        <color theme="1"/>
        <rFont val="Calibri"/>
        <family val="2"/>
        <scheme val="minor"/>
      </rPr>
      <t>when shell-side Reynolds number is low</t>
    </r>
    <r>
      <rPr>
        <sz val="11"/>
        <color theme="1"/>
        <rFont val="Calibri"/>
        <family val="2"/>
        <scheme val="minor"/>
      </rPr>
      <t>.</t>
    </r>
  </si>
  <si>
    <r>
      <t xml:space="preserve">Bell–Delaware base correlations assume turbulent cross-flow; at low Re, heat transfer drops faster than predicted → </t>
    </r>
    <r>
      <rPr>
        <b/>
        <sz val="11"/>
        <color theme="1"/>
        <rFont val="Calibri"/>
        <family val="2"/>
        <scheme val="minor"/>
      </rPr>
      <t>Jr &lt; 1</t>
    </r>
    <r>
      <rPr>
        <sz val="11"/>
        <color theme="1"/>
        <rFont val="Calibri"/>
        <family val="2"/>
        <scheme val="minor"/>
      </rPr>
      <t>.</t>
    </r>
  </si>
  <si>
    <t>Applies only at low Reₛ</t>
  </si>
  <si>
    <r>
      <t>Jr = 1.0</t>
    </r>
    <r>
      <rPr>
        <sz val="11"/>
        <color theme="1"/>
        <rFont val="Calibri"/>
        <family val="2"/>
        <scheme val="minor"/>
      </rPr>
      <t xml:space="preserve"> for turbulent flow</t>
    </r>
  </si>
  <si>
    <r>
      <t xml:space="preserve">Typical range when applied: </t>
    </r>
    <r>
      <rPr>
        <b/>
        <sz val="11"/>
        <color theme="1"/>
        <rFont val="Calibri"/>
        <family val="2"/>
        <scheme val="minor"/>
      </rPr>
      <t>0.6 – 1.0</t>
    </r>
  </si>
  <si>
    <t>WHEN DOES Jr APPLY? (ENGINEERING RULE)</t>
  </si>
  <si>
    <t>Use the standard Bell–Delaware thresholds:</t>
  </si>
  <si>
    <t>Reₛ range</t>
  </si>
  <si>
    <t>Action</t>
  </si>
  <si>
    <t>Reₛ ≥ 100</t>
  </si>
  <si>
    <r>
      <t xml:space="preserve">Jr = </t>
    </r>
    <r>
      <rPr>
        <b/>
        <sz val="11"/>
        <color theme="1"/>
        <rFont val="Calibri"/>
        <family val="2"/>
        <scheme val="minor"/>
      </rPr>
      <t>1.0</t>
    </r>
    <r>
      <rPr>
        <sz val="11"/>
        <color theme="1"/>
        <rFont val="Calibri"/>
        <family val="2"/>
        <scheme val="minor"/>
      </rPr>
      <t xml:space="preserve"> (no laminar penalty)</t>
    </r>
  </si>
  <si>
    <t>20 ≤ Reₛ &lt; 100</t>
  </si>
  <si>
    <r>
      <t xml:space="preserve">Jr </t>
    </r>
    <r>
      <rPr>
        <b/>
        <sz val="11"/>
        <color theme="1"/>
        <rFont val="Calibri"/>
        <family val="2"/>
        <scheme val="minor"/>
      </rPr>
      <t>applied</t>
    </r>
  </si>
  <si>
    <t>Reₛ &lt; 20</t>
  </si>
  <si>
    <r>
      <t xml:space="preserve">Correlation unreliable → </t>
    </r>
    <r>
      <rPr>
        <b/>
        <sz val="11"/>
        <color theme="1"/>
        <rFont val="Calibri"/>
        <family val="2"/>
        <scheme val="minor"/>
      </rPr>
      <t>warn user</t>
    </r>
  </si>
  <si>
    <t>Jr_raw</t>
  </si>
  <si>
    <t>FINAL Jr USED IN CALCULATION</t>
  </si>
  <si>
    <t>Bell–Delaware Pressure-Drop (ΔP) — STRUCTURE</t>
  </si>
  <si>
    <r>
      <t xml:space="preserve">Shell-side pressure drop is composed of </t>
    </r>
    <r>
      <rPr>
        <b/>
        <sz val="11"/>
        <color theme="1"/>
        <rFont val="Calibri"/>
        <family val="2"/>
        <scheme val="minor"/>
      </rPr>
      <t>four physical components</t>
    </r>
    <r>
      <rPr>
        <sz val="11"/>
        <color theme="1"/>
        <rFont val="Calibri"/>
        <family val="2"/>
        <scheme val="minor"/>
      </rPr>
      <t>:</t>
    </r>
  </si>
  <si>
    <t>Term</t>
  </si>
  <si>
    <t>Meaning</t>
  </si>
  <si>
    <t>ΔP_cf</t>
  </si>
  <si>
    <t>Cross-flow pressure drop between baffles</t>
  </si>
  <si>
    <t>ΔP_w</t>
  </si>
  <si>
    <t>Window zone (baffle cut) pressure drop</t>
  </si>
  <si>
    <t>ΔP_leak</t>
  </si>
  <si>
    <t>Leakage flow pressure drop</t>
  </si>
  <si>
    <t>ΔP_bypass</t>
  </si>
  <si>
    <t>Bundle bypass pressure drop</t>
  </si>
  <si>
    <r>
      <t xml:space="preserve">Bell–Delaware applies </t>
    </r>
    <r>
      <rPr>
        <b/>
        <sz val="11"/>
        <color theme="1"/>
        <rFont val="Calibri"/>
        <family val="2"/>
        <scheme val="minor"/>
      </rPr>
      <t>correction factors</t>
    </r>
    <r>
      <rPr>
        <sz val="11"/>
        <color theme="1"/>
        <rFont val="Calibri"/>
        <family val="2"/>
        <scheme val="minor"/>
      </rPr>
      <t>, just like heat transfer.</t>
    </r>
  </si>
  <si>
    <r>
      <t xml:space="preserve">This is the </t>
    </r>
    <r>
      <rPr>
        <b/>
        <sz val="11"/>
        <color theme="1"/>
        <rFont val="Calibri"/>
        <family val="2"/>
        <scheme val="minor"/>
      </rPr>
      <t>dominant term</t>
    </r>
    <r>
      <rPr>
        <sz val="11"/>
        <color theme="1"/>
        <rFont val="Calibri"/>
        <family val="2"/>
        <scheme val="minor"/>
      </rPr>
      <t>.</t>
    </r>
  </si>
  <si>
    <t>IDEAL CROSS-FLOW PRESSURE DROP (ΔP_cf)</t>
  </si>
  <si>
    <t>C ≈ 2.5   (triangular &amp; square – acceptable for rating)</t>
  </si>
  <si>
    <t>WINDOW ZONE PRESSURE DROP (ΔP_w)</t>
  </si>
  <si>
    <r>
      <t xml:space="preserve">✔ This is </t>
    </r>
    <r>
      <rPr>
        <b/>
        <sz val="11"/>
        <color theme="1"/>
        <rFont val="Calibri"/>
        <family val="2"/>
        <scheme val="minor"/>
      </rPr>
      <t>conceptually exact</t>
    </r>
  </si>
  <si>
    <r>
      <t xml:space="preserve">✔ Used in </t>
    </r>
    <r>
      <rPr>
        <b/>
        <sz val="11"/>
        <color theme="1"/>
        <rFont val="Calibri"/>
        <family val="2"/>
        <scheme val="minor"/>
      </rPr>
      <t>derivations and research</t>
    </r>
  </si>
  <si>
    <r>
      <t xml:space="preserve">❌ </t>
    </r>
    <r>
      <rPr>
        <b/>
        <sz val="11"/>
        <color theme="1"/>
        <rFont val="Calibri"/>
        <family val="2"/>
        <scheme val="minor"/>
      </rPr>
      <t>Not practical</t>
    </r>
    <r>
      <rPr>
        <sz val="11"/>
        <color theme="1"/>
        <rFont val="Calibri"/>
        <family val="2"/>
        <scheme val="minor"/>
      </rPr>
      <t xml:space="preserve"> for engineering tools (too many unknowns)</t>
    </r>
  </si>
  <si>
    <t>What Bell–Delaware did (THIS IS THE KEY)</t>
  </si>
  <si>
    <t>Bell and Delaware researchers observed:</t>
  </si>
  <si>
    <r>
      <t xml:space="preserve">Leakage and bypass flows </t>
    </r>
    <r>
      <rPr>
        <b/>
        <sz val="11"/>
        <color theme="1"/>
        <rFont val="Calibri"/>
        <family val="2"/>
        <scheme val="minor"/>
      </rPr>
      <t>do not add pressure drop</t>
    </r>
    <r>
      <rPr>
        <sz val="11"/>
        <color theme="1"/>
        <rFont val="Calibri"/>
        <family val="2"/>
        <scheme val="minor"/>
      </rPr>
      <t xml:space="preserve"> —</t>
    </r>
  </si>
  <si>
    <r>
      <t xml:space="preserve">they </t>
    </r>
    <r>
      <rPr>
        <b/>
        <sz val="11"/>
        <color theme="1"/>
        <rFont val="Calibri"/>
        <family val="2"/>
        <scheme val="minor"/>
      </rPr>
      <t>reduce the effective resistance</t>
    </r>
    <r>
      <rPr>
        <sz val="11"/>
        <color theme="1"/>
        <rFont val="Calibri"/>
        <family val="2"/>
        <scheme val="minor"/>
      </rPr>
      <t xml:space="preserve"> of the main crossflow.</t>
    </r>
  </si>
  <si>
    <t>So instead of:</t>
  </si>
  <si>
    <t>adding ΔP_leak and ΔP_bypass</t>
  </si>
  <si>
    <r>
      <t xml:space="preserve">they </t>
    </r>
    <r>
      <rPr>
        <b/>
        <sz val="11"/>
        <color theme="1"/>
        <rFont val="Calibri"/>
        <family val="2"/>
        <scheme val="minor"/>
      </rPr>
      <t>embedded their effects as reduction factors</t>
    </r>
    <r>
      <rPr>
        <sz val="11"/>
        <color theme="1"/>
        <rFont val="Calibri"/>
        <family val="2"/>
        <scheme val="minor"/>
      </rPr>
      <t>:</t>
    </r>
  </si>
  <si>
    <t>Factor</t>
  </si>
  <si>
    <t>Represents</t>
  </si>
  <si>
    <t>Effect of leakage streams</t>
  </si>
  <si>
    <t>Effect of bypass streams</t>
  </si>
  <si>
    <r>
      <t xml:space="preserve">These </t>
    </r>
    <r>
      <rPr>
        <b/>
        <sz val="11"/>
        <color theme="1"/>
        <rFont val="Calibri"/>
        <family val="2"/>
        <scheme val="minor"/>
      </rPr>
      <t>reduce the base pressure drop</t>
    </r>
    <r>
      <rPr>
        <sz val="11"/>
        <color theme="1"/>
        <rFont val="Calibri"/>
        <family val="2"/>
        <scheme val="minor"/>
      </rPr>
      <t>, rather than adding to it.</t>
    </r>
  </si>
  <si>
    <t>ENGINEERING FORM (BELL–DELAWARE PRACTICAL MODEL</t>
  </si>
  <si>
    <t>PHYSICAL DECOMPOSITION (FUNDAMENTAL)</t>
  </si>
  <si>
    <t>Rl​</t>
  </si>
  <si>
    <t>Rb​</t>
  </si>
  <si>
    <t>C factor</t>
  </si>
  <si>
    <t>(triangular &amp; square – acceptable for rating)</t>
  </si>
  <si>
    <t>Friction factor for shell-side cross-flow fs</t>
  </si>
  <si>
    <t>fs * (Gs^2/(2*rho_s)) * (Lb/de)</t>
  </si>
  <si>
    <t>Number of baffles (Nb)</t>
  </si>
  <si>
    <t>Number of cross-flow sections (N_cf)</t>
  </si>
  <si>
    <t>Pressure drop per cross-flow section (ΔP_cf1)</t>
  </si>
  <si>
    <t>Leakage correction on ΔP--Rl</t>
  </si>
  <si>
    <t>Bundle bypass correction on ΔP--Rb</t>
  </si>
  <si>
    <t>Label</t>
  </si>
  <si>
    <t>ΔP_low_limit</t>
  </si>
  <si>
    <t>ΔP_critical</t>
  </si>
  <si>
    <t>Total Shell-side ΔP based on general guidelines</t>
  </si>
  <si>
    <t>ROOT-CAUSE DETECTION</t>
  </si>
  <si>
    <t>Shell mass velocity is high</t>
  </si>
  <si>
    <t>→ Reduce shell flow rate</t>
  </si>
  <si>
    <t>→ Increase baffle spacing</t>
  </si>
  <si>
    <t>→ Increase shell diameter</t>
  </si>
  <si>
    <t>Baffle spacing too small</t>
  </si>
  <si>
    <t>→ Increase Lb to 0.4–0.6 Ds</t>
  </si>
  <si>
    <t>→ Reduces N_cf and ΔP</t>
  </si>
  <si>
    <t>Gs</t>
  </si>
  <si>
    <t>Lb/Ds</t>
  </si>
  <si>
    <t>Too many cross-flow sections</t>
  </si>
  <si>
    <t>→ Reduce shell length</t>
  </si>
  <si>
    <t>→ Consider two shells in parallel</t>
  </si>
  <si>
    <t>Ncf</t>
  </si>
  <si>
    <t>Tight tube pitch increases resistance</t>
  </si>
  <si>
    <t>→ Increase Pt/Do to 1.33 or 1.5</t>
  </si>
  <si>
    <t>→ Reduces ΔP significantly</t>
  </si>
  <si>
    <t>Bypass Fraction</t>
  </si>
  <si>
    <t>High bundle bypass</t>
  </si>
  <si>
    <t>→ Add sealing strips</t>
  </si>
  <si>
    <t>→ Reduce shell–bundle clearance</t>
  </si>
  <si>
    <t>ΔP Reduction Guidance</t>
  </si>
  <si>
    <t>ΔP Impact</t>
  </si>
  <si>
    <t>Reduce Gs</t>
  </si>
  <si>
    <t>🔥🔥🔥🔥</t>
  </si>
  <si>
    <t>Increase Lb</t>
  </si>
  <si>
    <t>🔥🔥🔥</t>
  </si>
  <si>
    <t>Increase Pt/Do</t>
  </si>
  <si>
    <t>🔥🔥</t>
  </si>
  <si>
    <t>Add sealing strips</t>
  </si>
  <si>
    <t>🔥</t>
  </si>
  <si>
    <t>WHY DATASHEET ΔP OVERRIDES GUIDELINES</t>
  </si>
  <si>
    <t>What guideline limits are</t>
  </si>
  <si>
    <t>Typical / empirical limits</t>
  </si>
  <si>
    <r>
      <t xml:space="preserve">Based on </t>
    </r>
    <r>
      <rPr>
        <b/>
        <sz val="11"/>
        <color theme="1"/>
        <rFont val="Calibri"/>
        <family val="2"/>
        <scheme val="minor"/>
      </rPr>
      <t>experience</t>
    </r>
    <r>
      <rPr>
        <sz val="11"/>
        <color theme="1"/>
        <rFont val="Calibri"/>
        <family val="2"/>
        <scheme val="minor"/>
      </rPr>
      <t>, not process necessity</t>
    </r>
  </si>
  <si>
    <r>
      <t xml:space="preserve">Used when </t>
    </r>
    <r>
      <rPr>
        <b/>
        <sz val="11"/>
        <color theme="1"/>
        <rFont val="Calibri"/>
        <family val="2"/>
        <scheme val="minor"/>
      </rPr>
      <t>no constraint is provided</t>
    </r>
  </si>
  <si>
    <t>Examples:</t>
  </si>
  <si>
    <t>Cooling water: 50–70 kPa</t>
  </si>
  <si>
    <t>Hydrocarbon liquid: 70–100 kPa</t>
  </si>
  <si>
    <t>Gas: 10–40 kPa</t>
  </si>
  <si>
    <r>
      <t xml:space="preserve">These are </t>
    </r>
    <r>
      <rPr>
        <b/>
        <sz val="11"/>
        <color theme="1"/>
        <rFont val="Calibri"/>
        <family val="2"/>
        <scheme val="minor"/>
      </rPr>
      <t>engineering defaults</t>
    </r>
    <r>
      <rPr>
        <sz val="11"/>
        <color theme="1"/>
        <rFont val="Calibri"/>
        <family val="2"/>
        <scheme val="minor"/>
      </rPr>
      <t>, not requirements.</t>
    </r>
  </si>
  <si>
    <t>What datasheet allowable ΔP represents</t>
  </si>
  <si>
    <t>Pump/compressor capability</t>
  </si>
  <si>
    <t>System hydraulics</t>
  </si>
  <si>
    <t>Control valve margin</t>
  </si>
  <si>
    <t>Operability constraints</t>
  </si>
  <si>
    <t>Energy cost limits</t>
  </si>
  <si>
    <r>
      <t xml:space="preserve">👉 It is a </t>
    </r>
    <r>
      <rPr>
        <b/>
        <sz val="11"/>
        <color theme="1"/>
        <rFont val="Calibri"/>
        <family val="2"/>
        <scheme val="minor"/>
      </rPr>
      <t>hard process constraint</t>
    </r>
    <r>
      <rPr>
        <sz val="11"/>
        <color theme="1"/>
        <rFont val="Calibri"/>
        <family val="2"/>
        <scheme val="minor"/>
      </rPr>
      <t>, not a suggestion.</t>
    </r>
  </si>
  <si>
    <t>Ignoring it can cause:</t>
  </si>
  <si>
    <t>Pump overload</t>
  </si>
  <si>
    <t>Loss of turndown</t>
  </si>
  <si>
    <t>Control issues</t>
  </si>
  <si>
    <t>Contractual non-compliance</t>
  </si>
  <si>
    <t>Governing allowable ΔP</t>
  </si>
  <si>
    <t>Where specified, client/process datasheet allowable ΔP governs acceptance.</t>
  </si>
  <si>
    <t>Guideline limits are applied only when no datasheet value is provided.</t>
  </si>
  <si>
    <t>RECOMMENDATIONS</t>
  </si>
  <si>
    <t>Disclaimer</t>
  </si>
  <si>
    <t>Category</t>
  </si>
  <si>
    <t>Engineering Basis</t>
  </si>
  <si>
    <t>Utility</t>
  </si>
  <si>
    <t>Pumping cost &amp; erosion control</t>
  </si>
  <si>
    <t>Industry standard</t>
  </si>
  <si>
    <t>High purity, cavitation risk</t>
  </si>
  <si>
    <t>Higher viscosity</t>
  </si>
  <si>
    <t>Lower viscosity</t>
  </si>
  <si>
    <t>Condensing pressure control</t>
  </si>
  <si>
    <t>Gas</t>
  </si>
  <si>
    <t>Fan/compressor limitation</t>
  </si>
  <si>
    <t>Typical gas-side limit</t>
  </si>
  <si>
    <t>Alcohol</t>
  </si>
  <si>
    <t>Light organic liquid</t>
  </si>
  <si>
    <t>Slightly more viscous</t>
  </si>
  <si>
    <t>Solvent</t>
  </si>
  <si>
    <t>Low viscosity solvent</t>
  </si>
  <si>
    <t>Aromatic HC</t>
  </si>
  <si>
    <t>Moderate density</t>
  </si>
  <si>
    <t>Similar to toluene</t>
  </si>
  <si>
    <t>Heavy HC</t>
  </si>
  <si>
    <t>High viscosity</t>
  </si>
  <si>
    <t>Medium HC</t>
  </si>
  <si>
    <t>Typical refinery service</t>
  </si>
  <si>
    <t>Glycol</t>
  </si>
  <si>
    <t>Very viscous</t>
  </si>
  <si>
    <t>Glycol mix</t>
  </si>
  <si>
    <t>Intermediate viscosity</t>
  </si>
  <si>
    <t>Acid</t>
  </si>
  <si>
    <t>Corrosion / pumping</t>
  </si>
  <si>
    <t>Very high density</t>
  </si>
  <si>
    <t>Corrosion constraint</t>
  </si>
  <si>
    <t>Oxidizing, corrosion</t>
  </si>
  <si>
    <t>Alkali</t>
  </si>
  <si>
    <t>ΔP_high_limit based on fluid</t>
  </si>
  <si>
    <r>
      <t xml:space="preserve">Values are </t>
    </r>
    <r>
      <rPr>
        <b/>
        <sz val="11"/>
        <color theme="1"/>
        <rFont val="Calibri"/>
        <family val="2"/>
        <scheme val="minor"/>
      </rPr>
      <t>guideline only</t>
    </r>
    <r>
      <rPr>
        <sz val="11"/>
        <color theme="1"/>
        <rFont val="Calibri"/>
        <family val="2"/>
        <scheme val="minor"/>
      </rPr>
      <t xml:space="preserve">, for </t>
    </r>
    <r>
      <rPr>
        <b/>
        <sz val="11"/>
        <color theme="1"/>
        <rFont val="Calibri"/>
        <family val="2"/>
        <scheme val="minor"/>
      </rPr>
      <t>continuous operation</t>
    </r>
  </si>
  <si>
    <t>Not valid for:</t>
  </si>
  <si>
    <t>Two-phase flow</t>
  </si>
  <si>
    <t>Fouling-dominated services</t>
  </si>
  <si>
    <t>Transient / batch operation</t>
  </si>
  <si>
    <t>Final acceptance must satisfy:</t>
  </si>
  <si>
    <t>Process datasheet</t>
  </si>
  <si>
    <t>Important Engineering Notes for allowable DeltaP</t>
  </si>
  <si>
    <t>Why</t>
  </si>
  <si>
    <t>Bar</t>
  </si>
  <si>
    <t>SUVI CHEM™ HX Diagnostic Toolkit | Bell–Delaware Method
Version 1.0</t>
  </si>
  <si>
    <t>ΔP SUMMARY</t>
  </si>
  <si>
    <t>Tube Side</t>
  </si>
  <si>
    <t>Shell Side</t>
  </si>
  <si>
    <t>Calculated ΔP</t>
  </si>
  <si>
    <t>Margin</t>
  </si>
  <si>
    <t>UoM</t>
  </si>
  <si>
    <t>Factor from Pa</t>
  </si>
  <si>
    <t>Governing Allowable ΔP</t>
  </si>
  <si>
    <t>Governing Basis</t>
  </si>
  <si>
    <t>KPa</t>
  </si>
  <si>
    <t>Guideline allowable Shell side ΔP</t>
  </si>
  <si>
    <t>Guideline allowable Tube side ΔP</t>
  </si>
  <si>
    <t>Tube side Allowable ΔP</t>
  </si>
  <si>
    <t>Tube-Side Allowable ΔP (kPa)</t>
  </si>
  <si>
    <t>Engineering Rationale</t>
  </si>
  <si>
    <t>Standard cooling/process water</t>
  </si>
  <si>
    <t>Low viscosity, easy pumping</t>
  </si>
  <si>
    <t>Similar to methanol</t>
  </si>
  <si>
    <t>Slightly higher viscosity</t>
  </si>
  <si>
    <t>Hydrocarbon, low fouling</t>
  </si>
  <si>
    <t>Higher viscosity hydrocarbon</t>
  </si>
  <si>
    <t>Corrosive, erosion risk</t>
  </si>
  <si>
    <t>Less viscous than 98%</t>
  </si>
  <si>
    <t>Highly corrosive</t>
  </si>
  <si>
    <t>Corrosive oxidizer</t>
  </si>
  <si>
    <t>High viscosity, fouling</t>
  </si>
  <si>
    <t>Higher viscosity than EG</t>
  </si>
  <si>
    <t>High allowable, pumpable</t>
  </si>
  <si>
    <t>Light hydrocarbon</t>
  </si>
  <si>
    <t>Often slightly higher than process water</t>
  </si>
  <si>
    <t>Compressibility limits</t>
  </si>
  <si>
    <t>Pump protection, erosion</t>
  </si>
  <si>
    <t>Density higher, pump sensitive</t>
  </si>
  <si>
    <t>Very sensitive to ΔP</t>
  </si>
  <si>
    <t>Gas compression penalty</t>
  </si>
  <si>
    <t>Shell side Allowable ΔP (kPa)</t>
  </si>
  <si>
    <t>“Tube-side allowable pressure drops are guideline values for preliminary rating.</t>
  </si>
  <si>
    <t>Final design shall comply with client datasheet or project hydraulic constraints.”</t>
  </si>
  <si>
    <t>Allowable Delta P as per Client input</t>
  </si>
  <si>
    <t>Guided line Allowable Delta P as per Fluid</t>
  </si>
  <si>
    <t>Shell side Allowable ΔP</t>
  </si>
  <si>
    <t>Calculated Value</t>
  </si>
  <si>
    <t>Small hydraulic diameter</t>
  </si>
  <si>
    <t>Strong bundle bypass</t>
  </si>
  <si>
    <t>—</t>
  </si>
  <si>
    <t>kg/m²·s</t>
  </si>
  <si>
    <t>Ideal Delta P</t>
  </si>
  <si>
    <t>Reference</t>
  </si>
  <si>
    <t>Shell-Side ΔP Diagnostic Table</t>
  </si>
  <si>
    <t>Recommended Range</t>
  </si>
  <si>
    <t>Engineering Remark</t>
  </si>
  <si>
    <t>Mass velocity (Gₛ)</t>
  </si>
  <si>
    <t>≤ 100</t>
  </si>
  <si>
    <t>High shell-side velocity increasing ΔP</t>
  </si>
  <si>
    <t>Cross-flow area (Aₛ)</t>
  </si>
  <si>
    <t>≥ 0.06</t>
  </si>
  <si>
    <t>Limited area causing high velocity</t>
  </si>
  <si>
    <t>Equivalent diameter (Dₑ)</t>
  </si>
  <si>
    <t>≥ 0.03</t>
  </si>
  <si>
    <t>No. of cross-flow sections (N_cf)</t>
  </si>
  <si>
    <t>≤ 8</t>
  </si>
  <si>
    <t>Excessive baffles increasing ΔP</t>
  </si>
  <si>
    <t>Leakage factor (Rₗ)</t>
  </si>
  <si>
    <t>≥ 0.85</t>
  </si>
  <si>
    <t>High baffle/tube leakage</t>
  </si>
  <si>
    <t>Bypass factor (R_b)</t>
  </si>
  <si>
    <t>≥ 0.70</t>
  </si>
  <si>
    <t>Theoretical shell ΔP</t>
  </si>
  <si>
    <t>ΔP without leakage/bypass</t>
  </si>
  <si>
    <t>Actual shell-side ΔP</t>
  </si>
  <si>
    <t>Exceeds allowable shell-side ΔP</t>
  </si>
  <si>
    <t>m2</t>
  </si>
  <si>
    <t>Parameter Violation Summary</t>
  </si>
  <si>
    <t>Hydraulic concerns identified</t>
  </si>
  <si>
    <t>Screening Range</t>
  </si>
  <si>
    <t>Reference Basis</t>
  </si>
  <si>
    <t>Gₛ</t>
  </si>
  <si>
    <t>≤ 100 kg/m²·s</t>
  </si>
  <si>
    <t>Bell–Delaware ΔP sensitivity, Kern</t>
  </si>
  <si>
    <t>Aₛ</t>
  </si>
  <si>
    <t>Velocity-based</t>
  </si>
  <si>
    <t>Bell–Delaware flow area definition</t>
  </si>
  <si>
    <t>Dₑ</t>
  </si>
  <si>
    <t>≥ 0.03 m</t>
  </si>
  <si>
    <t>Perry, Bell–Delaware friction</t>
  </si>
  <si>
    <t>Rₗ</t>
  </si>
  <si>
    <t>Bell–Delaware leakage factor</t>
  </si>
  <si>
    <t>R_b</t>
  </si>
  <si>
    <t>Bell–Delaware bypass factor</t>
  </si>
  <si>
    <t>Core sources (industry-accepted)</t>
  </si>
  <si>
    <t>1. Bell, K.J. &amp; Mueller, A.C.</t>
  </si>
  <si>
    <t>“Flow Distribution and Heat Transfer in Shell-and-Tube Heat Exchangers”</t>
  </si>
  <si>
    <t>AIChE Symposium Series, Vol. 69, No. 131, 1973</t>
  </si>
  <si>
    <t>2. Bell, K.J.</t>
  </si>
  <si>
    <t>“Final Report of the Cooperative Research Program on Shell-and-Tube Heat Exchangers”</t>
  </si>
  <si>
    <t>University of Delaware, 1963–1970</t>
  </si>
  <si>
    <t>3. Kern, D.Q.</t>
  </si>
  <si>
    <r>
      <t>Process Heat Transfer</t>
    </r>
    <r>
      <rPr>
        <sz val="11"/>
        <color theme="1"/>
        <rFont val="Calibri"/>
        <family val="2"/>
        <scheme val="minor"/>
      </rPr>
      <t>, McGraw-Hill</t>
    </r>
  </si>
  <si>
    <t>4. Perry &amp; Green</t>
  </si>
  <si>
    <r>
      <t>Perry’s Chemical Engineers’ Handbook</t>
    </r>
    <r>
      <rPr>
        <sz val="11"/>
        <color theme="1"/>
        <rFont val="Calibri"/>
        <family val="2"/>
        <scheme val="minor"/>
      </rPr>
      <t>, Heat Transfer Section</t>
    </r>
  </si>
  <si>
    <t>5. TEMA Standards</t>
  </si>
  <si>
    <t>(for mechanical clearances, baffle practice, not direct ΔP limits)</t>
  </si>
  <si>
    <r>
      <t>These are not hard “code limits”</t>
    </r>
    <r>
      <rPr>
        <sz val="11"/>
        <color theme="1"/>
        <rFont val="Calibri"/>
        <family val="2"/>
        <scheme val="minor"/>
      </rPr>
      <t xml:space="preserve">. They are </t>
    </r>
    <r>
      <rPr>
        <b/>
        <sz val="11"/>
        <color theme="1"/>
        <rFont val="Calibri"/>
        <family val="2"/>
        <scheme val="minor"/>
      </rPr>
      <t>widely used screening / diagnostic ranges</t>
    </r>
    <r>
      <rPr>
        <sz val="11"/>
        <color theme="1"/>
        <rFont val="Calibri"/>
        <family val="2"/>
        <scheme val="minor"/>
      </rPr>
      <t xml:space="preserve"> derived from Bell–Delaware practice, HTRI-style guidance, and exchanger design texts.</t>
    </r>
  </si>
  <si>
    <t>Literature support</t>
  </si>
  <si>
    <t>Kern (Process Heat Transfer):</t>
  </si>
  <si>
    <t>“Shell-side velocities are generally kept lower than tube-side velocities to limit pressure drop and vibration.”</t>
  </si>
  <si>
    <t>Perry’s Handbook:</t>
  </si>
  <si>
    <r>
      <t xml:space="preserve">Typical shell-side mass velocities correspond to </t>
    </r>
    <r>
      <rPr>
        <b/>
        <sz val="11"/>
        <color theme="1"/>
        <rFont val="Calibri"/>
        <family val="2"/>
        <scheme val="minor"/>
      </rPr>
      <t>0.5–2 m/s</t>
    </r>
    <r>
      <rPr>
        <sz val="11"/>
        <color theme="1"/>
        <rFont val="Calibri"/>
        <family val="2"/>
        <scheme val="minor"/>
      </rPr>
      <t>, which maps to ~50–100 kg/m²·s for liquids.</t>
    </r>
  </si>
  <si>
    <t>“Recommended shell-side mass velocity based on Bell–Delaware pressure-drop sensitivity and standard exchanger practice.”</t>
  </si>
  <si>
    <t>Bell &amp; Mueller (1973):</t>
  </si>
  <si>
    <t>Cross-flow area reduction significantly increases ΔP_cf.</t>
  </si>
  <si>
    <t>“Cross-flow area assessed relative to shell-side mass velocity; low effective area contributes to elevated pressure drop.”</t>
  </si>
  <si>
    <t>Smaller hydraulic diameters increase friction losses sharply.</t>
  </si>
  <si>
    <t>Bell–Delaware reports sensitivity of ΔP to tube pitch &amp; layout via Dₑ.</t>
  </si>
  <si>
    <t>“Equivalent diameter evaluated as a hydraulic indicator; low Dₑ increases frictional pressure drop per Bell–Delaware correlations.”</t>
  </si>
  <si>
    <t>Bell &amp; Mueller (1973), Fig. correlations:</t>
  </si>
  <si>
    <r>
      <t xml:space="preserve">Typical industrial exchangers: </t>
    </r>
    <r>
      <rPr>
        <b/>
        <sz val="11"/>
        <color theme="1"/>
        <rFont val="Calibri"/>
        <family val="2"/>
        <scheme val="minor"/>
      </rPr>
      <t>Rₗ ≈ 0.85–0.95</t>
    </r>
  </si>
  <si>
    <r>
      <t xml:space="preserve">Poor mechanical condition: </t>
    </r>
    <r>
      <rPr>
        <b/>
        <sz val="11"/>
        <color theme="1"/>
        <rFont val="Calibri"/>
        <family val="2"/>
        <scheme val="minor"/>
      </rPr>
      <t>Rₗ &lt; 0.8</t>
    </r>
  </si>
  <si>
    <t>“Leakage correction factor evaluated per Bell–Delaware method; values below 0.85 indicate significant leakage paths.”</t>
  </si>
  <si>
    <t>Bell–Delaware studies show:</t>
  </si>
  <si>
    <t>R_b ≈ 0.7–0.9 → typical designs</t>
  </si>
  <si>
    <t>R_b &lt; 0.7 → severe bypass</t>
  </si>
  <si>
    <t>TEMA tolerances without sealing strips commonly lead to R_b ≈ 0.6–0.7</t>
  </si>
  <si>
    <t>“Bypass correction factor per Bell–Delaware methodology; values below 0.70 indicate strong bundle bypass and reduced exchanger effectiveness.”</t>
  </si>
  <si>
    <t>IF(
B5="","",
IF(B5&gt;=15,"OK",
"Insufficient Area"))</t>
  </si>
  <si>
    <t>Installed Heat Transfer Area (Vendor / Datasheet)</t>
  </si>
  <si>
    <t>Capacity Utilization</t>
  </si>
  <si>
    <t>Governing side</t>
  </si>
  <si>
    <t>LONG TERM - 🏗 REVAMP</t>
  </si>
  <si>
    <t>SHORT TERM - ⚙ OPERATIONAL</t>
  </si>
  <si>
    <t>MEDIUM TERM -🛠 MAINTENANCE</t>
  </si>
  <si>
    <t>⚠ This workbook is protected.
Unauthorized modification, reverse engineering, or redistribution is prohibited.</t>
  </si>
  <si>
    <t>Heat Exchanger Diagnostic Toolkit — Bell–Delaware Method</t>
  </si>
  <si>
    <t>Version 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</si>
</sst>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
    <numFmt numFmtId="165" formatCode="0.000"/>
    <numFmt numFmtId="166" formatCode="0.0"/>
    <numFmt numFmtId="167" formatCode="0.0000"/>
    <numFmt numFmtId="168" formatCode="0.00000"/>
  </numFmts>
  <fonts count="43" x14ac:knownFonts="1">
    <font>
      <sz val="11"/>
      <color theme="1"/>
      <name val="Calibri"/>
      <family val="2"/>
      <scheme val="minor"/>
    </font>
    <font>
      <b/>
      <sz val="11"/>
      <name val="Calibri"/>
      <family val="2"/>
    </font>
    <font>
      <b/>
      <sz val="11"/>
      <color theme="1"/>
      <name val="Calibri"/>
      <family val="2"/>
      <scheme val="minor"/>
    </font>
    <font>
      <sz val="11"/>
      <color theme="0"/>
      <name val="Calibri"/>
      <family val="2"/>
      <scheme val="minor"/>
    </font>
    <font>
      <b/>
      <sz val="20"/>
      <color theme="0"/>
      <name val="Calibri"/>
      <family val="2"/>
      <scheme val="minor"/>
    </font>
    <font>
      <i/>
      <sz val="12"/>
      <color theme="0"/>
      <name val="Calibri"/>
      <family val="2"/>
      <scheme val="minor"/>
    </font>
    <font>
      <b/>
      <sz val="11"/>
      <color rgb="FF1F4E79"/>
      <name val="Calibri"/>
      <family val="2"/>
      <scheme val="minor"/>
    </font>
    <font>
      <sz val="11"/>
      <color rgb="FF1F4E79"/>
      <name val="Calibri"/>
      <family val="2"/>
      <scheme val="minor"/>
    </font>
    <font>
      <b/>
      <sz val="14"/>
      <color theme="1"/>
      <name val="Calibri"/>
      <family val="2"/>
      <scheme val="minor"/>
    </font>
    <font>
      <b/>
      <sz val="16"/>
      <color theme="1"/>
      <name val="Calibri"/>
      <family val="2"/>
      <scheme val="minor"/>
    </font>
    <font>
      <b/>
      <sz val="18"/>
      <color theme="1"/>
      <name val="Calibri"/>
      <family val="2"/>
      <scheme val="minor"/>
    </font>
    <font>
      <b/>
      <sz val="20"/>
      <color rgb="FF1F4E79"/>
      <name val="Calibri"/>
      <family val="2"/>
      <scheme val="minor"/>
    </font>
    <font>
      <b/>
      <sz val="16"/>
      <color theme="0"/>
      <name val="Calibri"/>
      <family val="2"/>
      <scheme val="minor"/>
    </font>
    <font>
      <b/>
      <sz val="12"/>
      <color theme="0"/>
      <name val="Calibri"/>
      <family val="2"/>
      <scheme val="minor"/>
    </font>
    <font>
      <sz val="16"/>
      <color theme="0"/>
      <name val="Calibri"/>
      <family val="2"/>
      <scheme val="minor"/>
    </font>
    <font>
      <i/>
      <sz val="11"/>
      <color rgb="FF1F4E79"/>
      <name val="Calibri"/>
      <family val="2"/>
      <scheme val="minor"/>
    </font>
    <font>
      <sz val="9"/>
      <color rgb="FF1F4E79"/>
      <name val="Calibri"/>
      <family val="2"/>
      <scheme val="minor"/>
    </font>
    <font>
      <sz val="9"/>
      <color theme="0"/>
      <name val="Calibri"/>
      <family val="2"/>
      <scheme val="minor"/>
    </font>
    <font>
      <sz val="11"/>
      <name val="Calibri"/>
      <family val="2"/>
      <scheme val="minor"/>
    </font>
    <font>
      <b/>
      <sz val="11"/>
      <name val="Calibri"/>
      <family val="2"/>
      <scheme val="minor"/>
    </font>
    <font>
      <sz val="9"/>
      <name val="Calibri"/>
      <family val="2"/>
      <scheme val="minor"/>
    </font>
    <font>
      <b/>
      <sz val="14"/>
      <name val="Calibri"/>
      <family val="2"/>
    </font>
    <font>
      <b/>
      <sz val="12"/>
      <color theme="1"/>
      <name val="Calibri"/>
      <family val="2"/>
      <scheme val="minor"/>
    </font>
    <font>
      <b/>
      <sz val="11"/>
      <color rgb="FF0070C0"/>
      <name val="Calibri"/>
      <family val="2"/>
      <scheme val="minor"/>
    </font>
    <font>
      <b/>
      <sz val="24"/>
      <color theme="1"/>
      <name val="Calibri"/>
      <family val="2"/>
      <scheme val="minor"/>
    </font>
    <font>
      <b/>
      <sz val="13.5"/>
      <color theme="1"/>
      <name val="Calibri"/>
      <family val="2"/>
      <scheme val="minor"/>
    </font>
    <font>
      <i/>
      <sz val="11"/>
      <color theme="1"/>
      <name val="Calibri"/>
      <family val="2"/>
      <scheme val="minor"/>
    </font>
    <font>
      <sz val="8"/>
      <name val="Calibri"/>
      <family val="2"/>
      <scheme val="minor"/>
    </font>
    <font>
      <sz val="8"/>
      <color theme="1"/>
      <name val="Calibri"/>
      <family val="2"/>
      <scheme val="minor"/>
    </font>
    <font>
      <b/>
      <sz val="14"/>
      <color theme="0"/>
      <name val="Calibri"/>
      <family val="2"/>
      <scheme val="minor"/>
    </font>
    <font>
      <u/>
      <sz val="11"/>
      <color theme="10"/>
      <name val="Calibri"/>
      <family val="2"/>
      <scheme val="minor"/>
    </font>
    <font>
      <b/>
      <sz val="11"/>
      <color theme="0"/>
      <name val="Calibri"/>
      <family val="2"/>
      <scheme val="minor"/>
    </font>
    <font>
      <b/>
      <sz val="10"/>
      <color theme="1"/>
      <name val="Calibri"/>
      <family val="2"/>
      <scheme val="minor"/>
    </font>
    <font>
      <b/>
      <i/>
      <sz val="12"/>
      <color theme="0"/>
      <name val="Calibri"/>
      <family val="2"/>
      <scheme val="minor"/>
    </font>
    <font>
      <b/>
      <i/>
      <sz val="11"/>
      <color theme="0"/>
      <name val="Calibri"/>
      <family val="2"/>
      <scheme val="minor"/>
    </font>
    <font>
      <i/>
      <sz val="9"/>
      <color rgb="FFE0E0E0"/>
      <name val="Calibri"/>
      <family val="2"/>
      <scheme val="minor"/>
    </font>
    <font>
      <i/>
      <sz val="11"/>
      <color rgb="FFE0E0E0"/>
      <name val="Calibri"/>
      <family val="2"/>
      <scheme val="minor"/>
    </font>
    <font>
      <sz val="11"/>
      <color rgb="FFF2F2F2"/>
      <name val="Calibri"/>
      <family val="2"/>
      <scheme val="minor"/>
    </font>
    <font>
      <b/>
      <sz val="11"/>
      <color rgb="FFFF0000"/>
      <name val="Calibri"/>
      <family val="2"/>
      <scheme val="minor"/>
    </font>
    <font>
      <i/>
      <sz val="8"/>
      <color theme="2" tint="-0.499984740745262"/>
      <name val="Calibri"/>
      <family val="2"/>
      <scheme val="minor"/>
    </font>
    <font>
      <b/>
      <sz val="20"/>
      <color theme="0"/>
      <name val="Calibri"/>
      <family val="2"/>
    </font>
    <font>
      <i/>
      <sz val="12"/>
      <color theme="1"/>
      <name val="Calibri"/>
      <family val="2"/>
    </font>
    <font>
      <i/>
      <sz val="9"/>
      <color theme="0"/>
      <name val="Calibri"/>
      <family val="2"/>
    </font>
  </fonts>
  <fills count="15">
    <fill>
      <patternFill patternType="none"/>
    </fill>
    <fill>
      <patternFill patternType="gray125"/>
    </fill>
    <fill>
      <patternFill patternType="solid">
        <fgColor rgb="FFFFF2CC"/>
        <bgColor rgb="FFFFF2CC"/>
      </patternFill>
    </fill>
    <fill>
      <patternFill patternType="solid">
        <fgColor rgb="FFDDEBF7"/>
        <bgColor rgb="FFDDEBF7"/>
      </patternFill>
    </fill>
    <fill>
      <patternFill patternType="solid">
        <fgColor rgb="FFE2EFDA"/>
        <bgColor rgb="FFE2EFDA"/>
      </patternFill>
    </fill>
    <fill>
      <patternFill patternType="solid">
        <fgColor rgb="FFF2F2F2"/>
        <bgColor rgb="FFF2F2F2"/>
      </patternFill>
    </fill>
    <fill>
      <patternFill patternType="solid">
        <fgColor rgb="FF1F4E79"/>
        <bgColor indexed="64"/>
      </patternFill>
    </fill>
    <fill>
      <patternFill patternType="solid">
        <fgColor theme="0"/>
        <bgColor indexed="64"/>
      </patternFill>
    </fill>
    <fill>
      <patternFill patternType="solid">
        <fgColor rgb="FFF2F2F2"/>
        <bgColor indexed="64"/>
      </patternFill>
    </fill>
    <fill>
      <patternFill patternType="solid">
        <fgColor rgb="FFFFFF00"/>
        <bgColor indexed="64"/>
      </patternFill>
    </fill>
    <fill>
      <patternFill patternType="solid">
        <fgColor rgb="FF00B0F0"/>
        <bgColor indexed="64"/>
      </patternFill>
    </fill>
    <fill>
      <patternFill patternType="solid">
        <fgColor rgb="FF00B050"/>
        <bgColor indexed="64"/>
      </patternFill>
    </fill>
    <fill>
      <patternFill patternType="solid">
        <fgColor theme="2"/>
        <bgColor indexed="64"/>
      </patternFill>
    </fill>
    <fill>
      <patternFill patternType="solid">
        <fgColor rgb="FFE0E0E0"/>
        <bgColor indexed="64"/>
      </patternFill>
    </fill>
    <fill>
      <patternFill patternType="solid">
        <fgColor rgb="FF0070C0"/>
        <bgColor indexed="64"/>
      </patternFill>
    </fill>
  </fills>
  <borders count="1">
    <border>
      <left/>
      <right/>
      <top/>
      <bottom/>
      <diagonal/>
    </border>
  </borders>
  <cellStyleXfs count="2">
    <xf numFmtId="0" fontId="0" fillId="0" borderId="0"/>
    <xf numFmtId="0" fontId="30" fillId="0" borderId="0" applyNumberFormat="0" applyFill="0" applyBorder="0" applyAlignment="0" applyProtection="0"/>
  </cellStyleXfs>
  <cellXfs count="140">
    <xf numFmtId="0" fontId="0" fillId="0" borderId="0" xfId="0"/>
    <xf numFmtId="0" fontId="0" fillId="2" borderId="0" xfId="0" applyFill="1"/>
    <xf numFmtId="0" fontId="0" fillId="3" borderId="0" xfId="0" applyFill="1"/>
    <xf numFmtId="0" fontId="0" fillId="4" borderId="0" xfId="0" applyFill="1"/>
    <xf numFmtId="0" fontId="1" fillId="5" borderId="0" xfId="0" applyFont="1" applyFill="1"/>
    <xf numFmtId="0" fontId="0" fillId="0" borderId="0" xfId="0" applyAlignment="1">
      <alignment vertical="top" wrapText="1"/>
    </xf>
    <xf numFmtId="0" fontId="0" fillId="6" borderId="0" xfId="0" applyFill="1"/>
    <xf numFmtId="0" fontId="8" fillId="6" borderId="0" xfId="0" applyFont="1" applyFill="1" applyAlignment="1">
      <alignment vertical="center"/>
    </xf>
    <xf numFmtId="0" fontId="0" fillId="8" borderId="0" xfId="0" applyFill="1"/>
    <xf numFmtId="0" fontId="15" fillId="8" borderId="0" xfId="0" applyFont="1" applyFill="1" applyAlignment="1">
      <alignment horizontal="center" vertical="center"/>
    </xf>
    <xf numFmtId="0" fontId="3" fillId="7" borderId="0" xfId="0" applyFont="1" applyFill="1"/>
    <xf numFmtId="0" fontId="0" fillId="7" borderId="0" xfId="0" applyFill="1"/>
    <xf numFmtId="0" fontId="7" fillId="7" borderId="0" xfId="0" applyFont="1" applyFill="1" applyAlignment="1">
      <alignment horizontal="center" vertical="center"/>
    </xf>
    <xf numFmtId="0" fontId="16" fillId="7" borderId="0" xfId="0" applyFont="1" applyFill="1"/>
    <xf numFmtId="0" fontId="17" fillId="7" borderId="0" xfId="0" applyFont="1" applyFill="1"/>
    <xf numFmtId="0" fontId="18" fillId="7" borderId="0" xfId="0" applyFont="1" applyFill="1"/>
    <xf numFmtId="0" fontId="19" fillId="7" borderId="0" xfId="0" applyFont="1" applyFill="1"/>
    <xf numFmtId="166" fontId="18" fillId="7" borderId="0" xfId="0" applyNumberFormat="1" applyFont="1" applyFill="1" applyAlignment="1">
      <alignment horizontal="center" vertical="center"/>
    </xf>
    <xf numFmtId="0" fontId="18" fillId="7" borderId="0" xfId="0" applyFont="1" applyFill="1" applyAlignment="1">
      <alignment horizontal="center" vertical="center"/>
    </xf>
    <xf numFmtId="165" fontId="18" fillId="7" borderId="0" xfId="0" applyNumberFormat="1" applyFont="1" applyFill="1" applyAlignment="1">
      <alignment horizontal="center" vertical="center"/>
    </xf>
    <xf numFmtId="0" fontId="20" fillId="7" borderId="0" xfId="0" applyFont="1" applyFill="1"/>
    <xf numFmtId="0" fontId="21" fillId="0" borderId="0" xfId="0" applyFont="1"/>
    <xf numFmtId="0" fontId="0" fillId="0" borderId="0" xfId="0" applyAlignment="1">
      <alignment vertical="center" wrapText="1"/>
    </xf>
    <xf numFmtId="164" fontId="0" fillId="0" borderId="0" xfId="0" applyNumberFormat="1"/>
    <xf numFmtId="0" fontId="0" fillId="0" borderId="0" xfId="0" applyAlignment="1">
      <alignment horizontal="center" vertical="center" wrapText="1"/>
    </xf>
    <xf numFmtId="0" fontId="2" fillId="0" borderId="0" xfId="0" applyFont="1"/>
    <xf numFmtId="0" fontId="23" fillId="8" borderId="0" xfId="0" applyFont="1" applyFill="1" applyAlignment="1">
      <alignment vertical="center"/>
    </xf>
    <xf numFmtId="11" fontId="0" fillId="0" borderId="0" xfId="0" applyNumberFormat="1" applyAlignment="1">
      <alignment vertical="center" wrapText="1"/>
    </xf>
    <xf numFmtId="0" fontId="24" fillId="0" borderId="0" xfId="0" applyFont="1" applyAlignment="1">
      <alignment vertical="center"/>
    </xf>
    <xf numFmtId="0" fontId="10" fillId="0" borderId="0" xfId="0" applyFont="1" applyAlignment="1">
      <alignment vertical="center"/>
    </xf>
    <xf numFmtId="0" fontId="25" fillId="0" borderId="0" xfId="0" applyFont="1" applyAlignment="1">
      <alignment vertical="center"/>
    </xf>
    <xf numFmtId="0" fontId="0" fillId="0" borderId="0" xfId="0" applyAlignment="1">
      <alignment horizontal="left" vertical="center" indent="1"/>
    </xf>
    <xf numFmtId="0" fontId="2" fillId="0" borderId="0" xfId="0" applyFont="1" applyAlignment="1">
      <alignment horizontal="left" vertical="center" indent="1"/>
    </xf>
    <xf numFmtId="0" fontId="0" fillId="0" borderId="0" xfId="0" applyAlignment="1">
      <alignment horizontal="left" vertical="center" indent="2"/>
    </xf>
    <xf numFmtId="0" fontId="0" fillId="0" borderId="0" xfId="0" applyAlignment="1">
      <alignment horizontal="left" vertical="center" indent="3"/>
    </xf>
    <xf numFmtId="0" fontId="2" fillId="0" borderId="0" xfId="0" applyFont="1" applyAlignment="1">
      <alignment horizontal="center" vertical="center" wrapText="1"/>
    </xf>
    <xf numFmtId="0" fontId="2" fillId="0" borderId="0" xfId="0" applyFont="1" applyAlignment="1">
      <alignment vertical="center" wrapText="1"/>
    </xf>
    <xf numFmtId="0" fontId="0" fillId="0" borderId="0" xfId="0" applyAlignment="1">
      <alignment horizontal="center" vertical="center"/>
    </xf>
    <xf numFmtId="165" fontId="0" fillId="2" borderId="0" xfId="0" applyNumberFormat="1" applyFill="1"/>
    <xf numFmtId="166" fontId="0" fillId="0" borderId="0" xfId="0" applyNumberFormat="1"/>
    <xf numFmtId="166" fontId="0" fillId="0" borderId="0" xfId="0" applyNumberFormat="1" applyAlignment="1">
      <alignment horizontal="center" vertical="center"/>
    </xf>
    <xf numFmtId="0" fontId="0" fillId="9" borderId="0" xfId="0" applyFill="1" applyAlignment="1">
      <alignment horizontal="center" vertical="center"/>
    </xf>
    <xf numFmtId="3" fontId="0" fillId="0" borderId="0" xfId="0" applyNumberFormat="1" applyAlignment="1">
      <alignment vertical="center" wrapText="1"/>
    </xf>
    <xf numFmtId="0" fontId="7" fillId="10" borderId="0" xfId="0" applyFont="1" applyFill="1" applyAlignment="1">
      <alignment horizontal="center" vertical="center"/>
    </xf>
    <xf numFmtId="167" fontId="0" fillId="0" borderId="0" xfId="0" applyNumberFormat="1" applyAlignment="1">
      <alignment horizontal="center" vertical="center"/>
    </xf>
    <xf numFmtId="168" fontId="0" fillId="0" borderId="0" xfId="0" applyNumberFormat="1"/>
    <xf numFmtId="165" fontId="0" fillId="0" borderId="0" xfId="0" applyNumberFormat="1"/>
    <xf numFmtId="0" fontId="0" fillId="0" borderId="0" xfId="0" applyAlignment="1">
      <alignment vertical="center"/>
    </xf>
    <xf numFmtId="0" fontId="2" fillId="0" borderId="0" xfId="0" applyFont="1" applyAlignment="1">
      <alignment horizontal="left" vertical="center" indent="2"/>
    </xf>
    <xf numFmtId="0" fontId="0" fillId="0" borderId="0" xfId="0" applyAlignment="1">
      <alignment horizontal="left"/>
    </xf>
    <xf numFmtId="0" fontId="0" fillId="10" borderId="0" xfId="0" applyFill="1"/>
    <xf numFmtId="0" fontId="28" fillId="0" borderId="0" xfId="0" applyFont="1"/>
    <xf numFmtId="165" fontId="0" fillId="0" borderId="0" xfId="0" applyNumberFormat="1" applyAlignment="1">
      <alignment horizontal="center"/>
    </xf>
    <xf numFmtId="165" fontId="0" fillId="0" borderId="0" xfId="0" applyNumberFormat="1" applyAlignment="1">
      <alignment horizontal="center" vertical="center"/>
    </xf>
    <xf numFmtId="2" fontId="0" fillId="0" borderId="0" xfId="0" applyNumberFormat="1" applyAlignment="1">
      <alignment horizontal="center" vertical="center"/>
    </xf>
    <xf numFmtId="0" fontId="22" fillId="0" borderId="0" xfId="0" applyFont="1" applyAlignment="1">
      <alignment vertical="center"/>
    </xf>
    <xf numFmtId="0" fontId="2" fillId="10" borderId="0" xfId="0" applyFont="1" applyFill="1"/>
    <xf numFmtId="3" fontId="0" fillId="0" borderId="0" xfId="0" applyNumberFormat="1" applyAlignment="1">
      <alignment horizontal="center" vertical="center" wrapText="1"/>
    </xf>
    <xf numFmtId="0" fontId="0" fillId="0" borderId="0" xfId="0" applyAlignment="1">
      <alignment horizontal="right"/>
    </xf>
    <xf numFmtId="0" fontId="22" fillId="11" borderId="0" xfId="0" applyFont="1" applyFill="1"/>
    <xf numFmtId="0" fontId="8" fillId="11" borderId="0" xfId="0" applyFont="1" applyFill="1"/>
    <xf numFmtId="0" fontId="2" fillId="0" borderId="0" xfId="0" applyFont="1" applyAlignment="1">
      <alignment vertical="center"/>
    </xf>
    <xf numFmtId="0" fontId="2" fillId="0" borderId="0" xfId="0" applyFont="1" applyAlignment="1">
      <alignment horizontal="center" vertical="center"/>
    </xf>
    <xf numFmtId="0" fontId="0" fillId="12" borderId="0" xfId="0" applyFill="1"/>
    <xf numFmtId="0" fontId="29" fillId="6" borderId="0" xfId="0" applyFont="1" applyFill="1" applyAlignment="1">
      <alignment horizontal="center" vertical="center"/>
    </xf>
    <xf numFmtId="0" fontId="8" fillId="6" borderId="0" xfId="0" applyFont="1" applyFill="1" applyAlignment="1">
      <alignment horizontal="center" vertical="center"/>
    </xf>
    <xf numFmtId="0" fontId="22" fillId="0" borderId="0" xfId="0" applyFont="1" applyAlignment="1">
      <alignment horizontal="center" vertical="center"/>
    </xf>
    <xf numFmtId="0" fontId="0" fillId="13" borderId="0" xfId="0" applyFill="1"/>
    <xf numFmtId="0" fontId="37" fillId="8" borderId="0" xfId="0" applyFont="1" applyFill="1"/>
    <xf numFmtId="166" fontId="37" fillId="8" borderId="0" xfId="0" applyNumberFormat="1" applyFont="1" applyFill="1" applyAlignment="1">
      <alignment horizontal="left"/>
    </xf>
    <xf numFmtId="0" fontId="37" fillId="0" borderId="0" xfId="0" applyFont="1"/>
    <xf numFmtId="166" fontId="3" fillId="7" borderId="0" xfId="0" applyNumberFormat="1" applyFont="1" applyFill="1" applyAlignment="1">
      <alignment horizontal="center" vertical="center"/>
    </xf>
    <xf numFmtId="0" fontId="3" fillId="7" borderId="0" xfId="0" applyFont="1" applyFill="1" applyAlignment="1">
      <alignment horizontal="center" vertical="center"/>
    </xf>
    <xf numFmtId="165" fontId="3" fillId="7" borderId="0" xfId="0" applyNumberFormat="1" applyFont="1" applyFill="1" applyAlignment="1">
      <alignment horizontal="center" vertical="center"/>
    </xf>
    <xf numFmtId="1" fontId="3" fillId="7" borderId="0" xfId="0" applyNumberFormat="1" applyFont="1" applyFill="1" applyAlignment="1">
      <alignment horizontal="center" vertical="center"/>
    </xf>
    <xf numFmtId="2" fontId="18" fillId="7" borderId="0" xfId="0" applyNumberFormat="1" applyFont="1" applyFill="1" applyAlignment="1">
      <alignment horizontal="center" vertical="center"/>
    </xf>
    <xf numFmtId="1" fontId="3" fillId="7" borderId="0" xfId="0" applyNumberFormat="1" applyFont="1" applyFill="1"/>
    <xf numFmtId="165" fontId="0" fillId="0" borderId="0" xfId="0" applyNumberFormat="1" applyAlignment="1">
      <alignment horizontal="center" vertical="center" wrapText="1"/>
    </xf>
    <xf numFmtId="2" fontId="0" fillId="0" borderId="0" xfId="0" applyNumberFormat="1" applyAlignment="1">
      <alignment horizontal="center" vertical="center" wrapText="1"/>
    </xf>
    <xf numFmtId="0" fontId="32" fillId="0" borderId="0" xfId="0" applyFont="1" applyAlignment="1">
      <alignment horizontal="center" vertical="center" wrapText="1"/>
    </xf>
    <xf numFmtId="0" fontId="0" fillId="7" borderId="0" xfId="0" applyFill="1" applyAlignment="1">
      <alignment vertical="center"/>
    </xf>
    <xf numFmtId="0" fontId="38" fillId="0" borderId="0" xfId="0" applyFont="1" applyAlignment="1">
      <alignment horizontal="center" vertical="center"/>
    </xf>
    <xf numFmtId="0" fontId="16" fillId="7" borderId="0" xfId="0" applyFont="1" applyFill="1" applyAlignment="1">
      <alignment horizontal="left" vertical="center"/>
    </xf>
    <xf numFmtId="0" fontId="39" fillId="7" borderId="0" xfId="0" applyFont="1" applyFill="1" applyAlignment="1">
      <alignment horizontal="left" vertical="center"/>
    </xf>
    <xf numFmtId="0" fontId="0" fillId="7" borderId="0" xfId="0" applyFill="1" applyAlignment="1">
      <alignment horizontal="left" vertical="center" wrapText="1"/>
    </xf>
    <xf numFmtId="0" fontId="26" fillId="0" borderId="0" xfId="0" applyFont="1" applyAlignment="1">
      <alignment horizontal="left" vertical="center" indent="1"/>
    </xf>
    <xf numFmtId="0" fontId="3" fillId="7" borderId="0" xfId="0" applyFont="1" applyFill="1" applyAlignment="1" applyProtection="1">
      <alignment horizontal="center" vertical="center"/>
      <protection hidden="1"/>
    </xf>
    <xf numFmtId="0" fontId="0" fillId="0" borderId="0" xfId="0" applyAlignment="1">
      <alignment wrapText="1"/>
    </xf>
    <xf numFmtId="0" fontId="7" fillId="7" borderId="0" xfId="0" applyFont="1" applyFill="1" applyAlignment="1">
      <alignment horizontal="center" vertical="center" wrapText="1"/>
    </xf>
    <xf numFmtId="0" fontId="0" fillId="10" borderId="0" xfId="0" applyFill="1" applyAlignment="1">
      <alignment horizontal="center" vertical="center"/>
    </xf>
    <xf numFmtId="0" fontId="7" fillId="9" borderId="0" xfId="0" applyFont="1" applyFill="1" applyAlignment="1" applyProtection="1">
      <alignment horizontal="center" vertical="center"/>
      <protection locked="0"/>
    </xf>
    <xf numFmtId="0" fontId="7" fillId="9" borderId="0" xfId="0" applyFont="1" applyFill="1" applyAlignment="1">
      <alignment horizontal="center" vertical="center"/>
    </xf>
    <xf numFmtId="0" fontId="16" fillId="7" borderId="0" xfId="0" applyFont="1" applyFill="1" applyAlignment="1" applyProtection="1">
      <alignment horizontal="left" vertical="center"/>
      <protection locked="0"/>
    </xf>
    <xf numFmtId="0" fontId="16" fillId="7" borderId="0" xfId="0" applyFont="1" applyFill="1" applyProtection="1">
      <protection locked="0"/>
    </xf>
    <xf numFmtId="0" fontId="18" fillId="7" borderId="0" xfId="0" applyFont="1" applyFill="1" applyAlignment="1" applyProtection="1">
      <alignment horizontal="center" vertical="center"/>
      <protection locked="0"/>
    </xf>
    <xf numFmtId="0" fontId="40" fillId="14" borderId="0" xfId="0" applyFont="1" applyFill="1" applyAlignment="1">
      <alignment vertical="center"/>
    </xf>
    <xf numFmtId="0" fontId="42" fillId="14" borderId="0" xfId="0" applyFont="1" applyFill="1" applyAlignment="1">
      <alignment horizontal="left" vertical="center"/>
    </xf>
    <xf numFmtId="0" fontId="41" fillId="7" borderId="0" xfId="0" applyFont="1" applyFill="1" applyAlignment="1">
      <alignment horizontal="center"/>
    </xf>
    <xf numFmtId="0" fontId="0" fillId="7" borderId="0" xfId="0" applyFill="1"/>
    <xf numFmtId="0" fontId="40" fillId="14" borderId="0" xfId="0" applyFont="1" applyFill="1" applyAlignment="1">
      <alignment horizontal="left" vertical="center"/>
    </xf>
    <xf numFmtId="0" fontId="0" fillId="7" borderId="0" xfId="0" applyFill="1" applyAlignment="1">
      <alignment horizontal="center"/>
    </xf>
    <xf numFmtId="0" fontId="42" fillId="14" borderId="0" xfId="0" applyFont="1" applyFill="1" applyAlignment="1">
      <alignment horizontal="left" vertical="center"/>
    </xf>
    <xf numFmtId="0" fontId="34" fillId="6" borderId="0" xfId="0" applyFont="1" applyFill="1" applyAlignment="1">
      <alignment horizontal="center" vertical="center"/>
    </xf>
    <xf numFmtId="0" fontId="33" fillId="6" borderId="0" xfId="0" applyFont="1" applyFill="1" applyAlignment="1">
      <alignment horizontal="center" vertical="center"/>
    </xf>
    <xf numFmtId="0" fontId="6" fillId="7" borderId="0" xfId="0" applyFont="1" applyFill="1" applyAlignment="1">
      <alignment horizontal="center" vertical="center"/>
    </xf>
    <xf numFmtId="165" fontId="9" fillId="7" borderId="0" xfId="0" applyNumberFormat="1" applyFont="1" applyFill="1" applyAlignment="1">
      <alignment horizontal="center" vertical="center"/>
    </xf>
    <xf numFmtId="1" fontId="9" fillId="7" borderId="0" xfId="0" applyNumberFormat="1" applyFont="1" applyFill="1" applyAlignment="1">
      <alignment horizontal="center" vertical="center"/>
    </xf>
    <xf numFmtId="0" fontId="4" fillId="6" borderId="0" xfId="0" applyFont="1" applyFill="1" applyAlignment="1">
      <alignment horizontal="center" vertical="center"/>
    </xf>
    <xf numFmtId="0" fontId="5" fillId="6" borderId="0" xfId="0" applyFont="1" applyFill="1" applyAlignment="1">
      <alignment horizontal="center" vertical="center"/>
    </xf>
    <xf numFmtId="0" fontId="11" fillId="7" borderId="0" xfId="0" applyFont="1" applyFill="1" applyAlignment="1">
      <alignment horizontal="center" vertical="center"/>
    </xf>
    <xf numFmtId="0" fontId="3" fillId="6" borderId="0" xfId="0" applyFont="1" applyFill="1" applyAlignment="1">
      <alignment horizontal="center" vertical="center"/>
    </xf>
    <xf numFmtId="0" fontId="35" fillId="6" borderId="0" xfId="0" applyFont="1" applyFill="1" applyAlignment="1">
      <alignment horizontal="right" vertical="center" wrapText="1"/>
    </xf>
    <xf numFmtId="0" fontId="36" fillId="6" borderId="0" xfId="0" applyFont="1" applyFill="1" applyAlignment="1">
      <alignment horizontal="right" vertical="center"/>
    </xf>
    <xf numFmtId="1" fontId="22" fillId="7" borderId="0" xfId="0" applyNumberFormat="1" applyFont="1" applyFill="1" applyAlignment="1">
      <alignment horizontal="center" vertical="center"/>
    </xf>
    <xf numFmtId="0" fontId="30" fillId="0" borderId="0" xfId="1" applyFill="1" applyAlignment="1">
      <alignment horizontal="center" vertical="center"/>
    </xf>
    <xf numFmtId="2" fontId="9" fillId="7" borderId="0" xfId="0" applyNumberFormat="1" applyFont="1" applyFill="1" applyAlignment="1">
      <alignment horizontal="center" vertical="center"/>
    </xf>
    <xf numFmtId="0" fontId="14" fillId="6" borderId="0" xfId="0" applyFont="1" applyFill="1" applyAlignment="1">
      <alignment horizontal="center" vertical="center"/>
    </xf>
    <xf numFmtId="0" fontId="15" fillId="8" borderId="0" xfId="0" applyFont="1" applyFill="1" applyAlignment="1">
      <alignment horizontal="center" vertical="center"/>
    </xf>
    <xf numFmtId="0" fontId="13" fillId="6" borderId="0" xfId="0" applyFont="1" applyFill="1" applyAlignment="1">
      <alignment horizontal="center" vertical="center"/>
    </xf>
    <xf numFmtId="0" fontId="0" fillId="6" borderId="0" xfId="0" applyFill="1" applyAlignment="1">
      <alignment horizontal="center" vertical="center"/>
    </xf>
    <xf numFmtId="0" fontId="8" fillId="7" borderId="0" xfId="0" applyFont="1" applyFill="1" applyAlignment="1">
      <alignment horizontal="center" vertical="center" wrapText="1"/>
    </xf>
    <xf numFmtId="0" fontId="22" fillId="8" borderId="0" xfId="0" applyFont="1" applyFill="1" applyAlignment="1">
      <alignment horizontal="center" vertical="center" wrapText="1"/>
    </xf>
    <xf numFmtId="0" fontId="12" fillId="6" borderId="0" xfId="0" applyFont="1" applyFill="1" applyAlignment="1">
      <alignment horizontal="center" vertical="center"/>
    </xf>
    <xf numFmtId="0" fontId="29" fillId="6" borderId="0" xfId="0" applyFont="1" applyFill="1" applyAlignment="1">
      <alignment horizontal="center" vertical="center"/>
    </xf>
    <xf numFmtId="0" fontId="0" fillId="7" borderId="0" xfId="0" applyFill="1" applyAlignment="1">
      <alignment horizontal="left" vertical="center"/>
    </xf>
    <xf numFmtId="0" fontId="0" fillId="7" borderId="0" xfId="0" applyFill="1" applyAlignment="1">
      <alignment horizontal="left" wrapText="1"/>
    </xf>
    <xf numFmtId="0" fontId="0" fillId="7" borderId="0" xfId="0" applyFill="1" applyAlignment="1">
      <alignment horizontal="left" vertical="center" wrapText="1"/>
    </xf>
    <xf numFmtId="0" fontId="26" fillId="7" borderId="0" xfId="0" applyFont="1" applyFill="1" applyAlignment="1">
      <alignment horizontal="center" vertical="center"/>
    </xf>
    <xf numFmtId="0" fontId="0" fillId="0" borderId="0" xfId="0" applyAlignment="1">
      <alignment horizontal="left" vertical="center" wrapText="1"/>
    </xf>
    <xf numFmtId="0" fontId="2" fillId="7" borderId="0" xfId="0" applyFont="1" applyFill="1" applyAlignment="1">
      <alignment horizontal="center"/>
    </xf>
    <xf numFmtId="0" fontId="2" fillId="7" borderId="0" xfId="0" applyFont="1" applyFill="1" applyAlignment="1">
      <alignment horizontal="center" vertical="center"/>
    </xf>
    <xf numFmtId="165" fontId="0" fillId="7" borderId="0" xfId="0" applyNumberFormat="1" applyFill="1" applyAlignment="1">
      <alignment horizontal="center" vertical="center"/>
    </xf>
    <xf numFmtId="166" fontId="0" fillId="7" borderId="0" xfId="0" applyNumberFormat="1" applyFill="1" applyAlignment="1">
      <alignment horizontal="center" vertical="center"/>
    </xf>
    <xf numFmtId="2" fontId="0" fillId="7" borderId="0" xfId="0" applyNumberFormat="1" applyFill="1" applyAlignment="1">
      <alignment horizontal="center" vertical="center"/>
    </xf>
    <xf numFmtId="0" fontId="0" fillId="7" borderId="0" xfId="0" applyFill="1" applyAlignment="1">
      <alignment horizontal="center" vertical="center"/>
    </xf>
    <xf numFmtId="0" fontId="0" fillId="0" borderId="0" xfId="0" applyAlignment="1">
      <alignment horizontal="center" vertical="center" wrapText="1"/>
    </xf>
    <xf numFmtId="0" fontId="32" fillId="0" borderId="0" xfId="0" applyFont="1" applyAlignment="1">
      <alignment horizontal="center" vertical="center" wrapText="1"/>
    </xf>
    <xf numFmtId="166" fontId="0" fillId="7" borderId="0" xfId="0" quotePrefix="1" applyNumberFormat="1" applyFill="1" applyAlignment="1">
      <alignment horizontal="center"/>
    </xf>
    <xf numFmtId="0" fontId="31" fillId="7" borderId="0" xfId="0" applyFont="1" applyFill="1" applyAlignment="1">
      <alignment horizontal="center"/>
    </xf>
    <xf numFmtId="0" fontId="31" fillId="6" borderId="0" xfId="0" applyFont="1" applyFill="1" applyAlignment="1">
      <alignment horizontal="center"/>
    </xf>
  </cellXfs>
  <cellStyles count="2">
    <cellStyle name="Hyperlink" xfId="1" builtinId="8"/>
    <cellStyle name="Normal" xfId="0" builtinId="0"/>
  </cellStyles>
  <dxfs count="51">
    <dxf>
      <fill>
        <patternFill>
          <bgColor rgb="FF00B050"/>
        </patternFill>
      </fill>
    </dxf>
    <dxf>
      <fill>
        <patternFill>
          <bgColor theme="9" tint="-0.24994659260841701"/>
        </patternFill>
      </fill>
    </dxf>
    <dxf>
      <fill>
        <patternFill>
          <bgColor rgb="FFFF0000"/>
        </patternFill>
      </fill>
    </dxf>
    <dxf>
      <font>
        <b/>
        <i val="0"/>
        <color theme="0"/>
      </font>
      <fill>
        <patternFill>
          <bgColor rgb="FFFF0000"/>
        </patternFill>
      </fill>
    </dxf>
    <dxf>
      <fill>
        <patternFill patternType="solid">
          <fgColor rgb="FFFFEB9C"/>
          <bgColor rgb="FFFFEB9C"/>
        </patternFill>
      </fill>
    </dxf>
    <dxf>
      <fill>
        <patternFill patternType="solid">
          <fgColor rgb="FFC6EFCE"/>
          <bgColor rgb="FFC6EFCE"/>
        </patternFill>
      </fill>
    </dxf>
    <dxf>
      <fill>
        <patternFill patternType="solid">
          <fgColor rgb="FFF4CCCC"/>
          <bgColor rgb="FFF4CCCC"/>
        </patternFill>
      </fill>
    </dxf>
    <dxf>
      <fill>
        <patternFill patternType="solid">
          <fgColor rgb="FFC6EFCE"/>
          <bgColor rgb="FFC6EFCE"/>
        </patternFill>
      </fill>
    </dxf>
    <dxf>
      <fill>
        <patternFill patternType="solid">
          <fgColor rgb="FFF4CCCC"/>
          <bgColor rgb="FFF4CCCC"/>
        </patternFill>
      </fill>
    </dxf>
    <dxf>
      <fill>
        <patternFill patternType="solid">
          <fgColor rgb="FFFFEB9C"/>
          <bgColor rgb="FFFFEB9C"/>
        </patternFill>
      </fill>
    </dxf>
    <dxf>
      <fill>
        <patternFill patternType="solid">
          <fgColor rgb="FFC6EFCE"/>
          <bgColor rgb="FFC6EFCE"/>
        </patternFill>
      </fill>
    </dxf>
    <dxf>
      <fill>
        <patternFill patternType="solid">
          <fgColor rgb="FFF4CCCC"/>
          <bgColor rgb="FFF4CCCC"/>
        </patternFill>
      </fill>
    </dxf>
    <dxf>
      <fill>
        <patternFill patternType="solid">
          <fgColor rgb="FFC6EFCE"/>
          <bgColor rgb="FFC6EFCE"/>
        </patternFill>
      </fill>
    </dxf>
    <dxf>
      <fill>
        <patternFill>
          <bgColor rgb="FF00B050"/>
        </patternFill>
      </fill>
    </dxf>
    <dxf>
      <fill>
        <patternFill>
          <bgColor rgb="FFFFFF00"/>
        </patternFill>
      </fill>
    </dxf>
    <dxf>
      <fill>
        <patternFill>
          <bgColor theme="9" tint="-0.24994659260841701"/>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C000"/>
        </patternFill>
      </fill>
    </dxf>
    <dxf>
      <fill>
        <patternFill>
          <bgColor rgb="FF00B050"/>
        </patternFill>
      </fill>
    </dxf>
    <dxf>
      <fill>
        <patternFill>
          <bgColor theme="9" tint="-0.24994659260841701"/>
        </patternFill>
      </fill>
    </dxf>
    <dxf>
      <fill>
        <patternFill>
          <bgColor rgb="FF00B050"/>
        </patternFill>
      </fill>
    </dxf>
    <dxf>
      <fill>
        <patternFill>
          <bgColor rgb="FF00B050"/>
        </patternFill>
      </fill>
    </dxf>
    <dxf>
      <fill>
        <patternFill>
          <bgColor rgb="FFFF0000"/>
        </patternFill>
      </fill>
    </dxf>
    <dxf>
      <fill>
        <patternFill>
          <bgColor rgb="FF00B050"/>
        </patternFill>
      </fill>
    </dxf>
    <dxf>
      <fill>
        <patternFill>
          <bgColor theme="9" tint="-0.24994659260841701"/>
        </patternFill>
      </fill>
    </dxf>
    <dxf>
      <fill>
        <patternFill>
          <bgColor rgb="FFFF0000"/>
        </patternFill>
      </fill>
    </dxf>
    <dxf>
      <fill>
        <patternFill>
          <bgColor rgb="FF00B050"/>
        </patternFill>
      </fill>
    </dxf>
    <dxf>
      <fill>
        <patternFill>
          <bgColor theme="9" tint="-0.24994659260841701"/>
        </patternFill>
      </fill>
    </dxf>
    <dxf>
      <fill>
        <patternFill>
          <bgColor rgb="FFFF0000"/>
        </patternFill>
      </fill>
    </dxf>
    <dxf>
      <fill>
        <patternFill>
          <bgColor rgb="FF00B050"/>
        </patternFill>
      </fill>
    </dxf>
    <dxf>
      <fill>
        <patternFill>
          <bgColor rgb="FFFF0000"/>
        </patternFill>
      </fill>
    </dxf>
    <dxf>
      <fill>
        <patternFill>
          <bgColor theme="9" tint="-0.24994659260841701"/>
        </patternFill>
      </fill>
    </dxf>
    <dxf>
      <fill>
        <patternFill>
          <bgColor rgb="FF00B0F0"/>
        </patternFill>
      </fill>
    </dxf>
    <dxf>
      <font>
        <b/>
        <i val="0"/>
        <color theme="1"/>
      </font>
      <fill>
        <patternFill>
          <bgColor rgb="FF00B050"/>
        </patternFill>
      </fill>
    </dxf>
    <dxf>
      <font>
        <b/>
        <i val="0"/>
        <color theme="0"/>
      </font>
      <fill>
        <patternFill>
          <bgColor rgb="FFFF0000"/>
        </patternFill>
      </fill>
    </dxf>
    <dxf>
      <fill>
        <patternFill>
          <bgColor rgb="FF92D050"/>
        </patternFill>
      </fill>
    </dxf>
    <dxf>
      <fill>
        <patternFill>
          <bgColor theme="9" tint="-0.24994659260841701"/>
        </patternFill>
      </fill>
    </dxf>
    <dxf>
      <fill>
        <patternFill>
          <bgColor rgb="FFFF0000"/>
        </patternFill>
      </fill>
    </dxf>
    <dxf>
      <font>
        <b/>
        <i val="0"/>
        <color theme="1"/>
      </font>
      <fill>
        <patternFill>
          <bgColor rgb="FF92D050"/>
        </patternFill>
      </fill>
    </dxf>
    <dxf>
      <font>
        <b/>
        <i val="0"/>
        <color theme="0"/>
      </font>
      <fill>
        <patternFill>
          <bgColor rgb="FFFF0000"/>
        </patternFill>
      </fill>
    </dxf>
    <dxf>
      <font>
        <b/>
        <i val="0"/>
        <color theme="1"/>
      </font>
      <fill>
        <patternFill>
          <bgColor rgb="FF00B050"/>
        </patternFill>
      </fill>
    </dxf>
    <dxf>
      <font>
        <b/>
        <i val="0"/>
        <color theme="0"/>
      </font>
      <fill>
        <patternFill>
          <bgColor rgb="FFFF0000"/>
        </patternFill>
      </fill>
    </dxf>
    <dxf>
      <fill>
        <patternFill>
          <bgColor rgb="FF00B050"/>
        </patternFill>
      </fill>
    </dxf>
    <dxf>
      <fill>
        <patternFill>
          <bgColor theme="9" tint="-0.24994659260841701"/>
        </patternFill>
      </fill>
    </dxf>
    <dxf>
      <fill>
        <patternFill>
          <bgColor rgb="FFFF0000"/>
        </patternFill>
      </fill>
    </dxf>
  </dxfs>
  <tableStyles count="0" defaultTableStyle="TableStyleMedium9" defaultPivotStyle="PivotStyleLight16"/>
  <colors>
    <mruColors>
      <color rgb="FFD2D2D2"/>
      <color rgb="FFC8C8C8"/>
      <color rgb="FFE0E0E0"/>
      <color rgb="FF1F4E79"/>
      <color rgb="FFF2F2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microsoft.com/office/2017/10/relationships/person" Target="persons/perso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 Id="rId27"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hyperlink" Target="#Results_Dashboard!A1"/><Relationship Id="rId2" Type="http://schemas.openxmlformats.org/officeDocument/2006/relationships/hyperlink" Target="#'&#916;P Details'!A1"/><Relationship Id="rId1" Type="http://schemas.openxmlformats.org/officeDocument/2006/relationships/hyperlink" Target="#Input_Form!A1"/><Relationship Id="rId5" Type="http://schemas.openxmlformats.org/officeDocument/2006/relationships/hyperlink" Target="#Legal_Disclaimer!A1"/><Relationship Id="rId4" Type="http://schemas.openxmlformats.org/officeDocument/2006/relationships/hyperlink" Target="#Recommendations!A1"/></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4.xml.rels><?xml version="1.0" encoding="UTF-8" standalone="yes"?>
<Relationships xmlns="http://schemas.openxmlformats.org/package/2006/relationships"><Relationship Id="rId1" Type="http://schemas.openxmlformats.org/officeDocument/2006/relationships/image" Target="../media/image6.png"/></Relationships>
</file>

<file path=xl/drawings/_rels/drawing5.xml.rels><?xml version="1.0" encoding="UTF-8" standalone="yes"?>
<Relationships xmlns="http://schemas.openxmlformats.org/package/2006/relationships"><Relationship Id="rId8" Type="http://schemas.openxmlformats.org/officeDocument/2006/relationships/image" Target="../media/image14.png"/><Relationship Id="rId13" Type="http://schemas.openxmlformats.org/officeDocument/2006/relationships/image" Target="../media/image3.png"/><Relationship Id="rId3" Type="http://schemas.openxmlformats.org/officeDocument/2006/relationships/image" Target="../media/image9.png"/><Relationship Id="rId7" Type="http://schemas.openxmlformats.org/officeDocument/2006/relationships/image" Target="../media/image13.png"/><Relationship Id="rId12" Type="http://schemas.openxmlformats.org/officeDocument/2006/relationships/image" Target="../media/image18.png"/><Relationship Id="rId2" Type="http://schemas.openxmlformats.org/officeDocument/2006/relationships/image" Target="../media/image8.png"/><Relationship Id="rId1" Type="http://schemas.openxmlformats.org/officeDocument/2006/relationships/image" Target="../media/image7.png"/><Relationship Id="rId6" Type="http://schemas.openxmlformats.org/officeDocument/2006/relationships/image" Target="../media/image12.png"/><Relationship Id="rId11" Type="http://schemas.openxmlformats.org/officeDocument/2006/relationships/image" Target="../media/image17.png"/><Relationship Id="rId5" Type="http://schemas.openxmlformats.org/officeDocument/2006/relationships/image" Target="../media/image11.png"/><Relationship Id="rId10" Type="http://schemas.openxmlformats.org/officeDocument/2006/relationships/image" Target="../media/image16.png"/><Relationship Id="rId4" Type="http://schemas.openxmlformats.org/officeDocument/2006/relationships/image" Target="../media/image10.png"/><Relationship Id="rId9" Type="http://schemas.openxmlformats.org/officeDocument/2006/relationships/image" Target="../media/image15.png"/></Relationships>
</file>

<file path=xl/drawings/drawing1.xml><?xml version="1.0" encoding="utf-8"?>
<xdr:wsDr xmlns:xdr="http://schemas.openxmlformats.org/drawingml/2006/spreadsheetDrawing" xmlns:a="http://schemas.openxmlformats.org/drawingml/2006/main">
  <xdr:oneCellAnchor>
    <xdr:from>
      <xdr:col>3</xdr:col>
      <xdr:colOff>1173480</xdr:colOff>
      <xdr:row>0</xdr:row>
      <xdr:rowOff>15240</xdr:rowOff>
    </xdr:from>
    <xdr:ext cx="900000" cy="723900"/>
    <xdr:pic>
      <xdr:nvPicPr>
        <xdr:cNvPr id="2" name="Image 1" descr="Picture">
          <a:extLst>
            <a:ext uri="{FF2B5EF4-FFF2-40B4-BE49-F238E27FC236}">
              <a16:creationId xmlns:a16="http://schemas.microsoft.com/office/drawing/2014/main" id="{00000000-0008-0000-0900-000002000000}"/>
            </a:ext>
          </a:extLst>
        </xdr:cNvPr>
        <xdr:cNvPicPr/>
      </xdr:nvPicPr>
      <xdr:blipFill>
        <a:blip xmlns:r="http://schemas.openxmlformats.org/officeDocument/2006/relationships" r:embed="rId1" cstate="print"/>
        <a:stretch>
          <a:fillRect/>
        </a:stretch>
      </xdr:blipFill>
      <xdr:spPr>
        <a:xfrm>
          <a:off x="7345680" y="15240"/>
          <a:ext cx="900000" cy="723900"/>
        </a:xfrm>
        <a:prstGeom prst="rect">
          <a:avLst/>
        </a:prstGeom>
      </xdr:spPr>
    </xdr:pic>
    <xdr:clientData/>
  </xdr:oneCellAnchor>
  <xdr:twoCellAnchor>
    <xdr:from>
      <xdr:col>2</xdr:col>
      <xdr:colOff>17000</xdr:colOff>
      <xdr:row>12</xdr:row>
      <xdr:rowOff>166719</xdr:rowOff>
    </xdr:from>
    <xdr:to>
      <xdr:col>4</xdr:col>
      <xdr:colOff>265626</xdr:colOff>
      <xdr:row>20</xdr:row>
      <xdr:rowOff>8564</xdr:rowOff>
    </xdr:to>
    <xdr:sp macro="" textlink="">
      <xdr:nvSpPr>
        <xdr:cNvPr id="4" name="TextBox 3">
          <a:extLst>
            <a:ext uri="{FF2B5EF4-FFF2-40B4-BE49-F238E27FC236}">
              <a16:creationId xmlns:a16="http://schemas.microsoft.com/office/drawing/2014/main" id="{8FA78A92-BEBF-0315-2AA7-5500874C775B}"/>
            </a:ext>
          </a:extLst>
        </xdr:cNvPr>
        <xdr:cNvSpPr txBox="1"/>
      </xdr:nvSpPr>
      <xdr:spPr>
        <a:xfrm rot="900000">
          <a:off x="4131800" y="2429859"/>
          <a:ext cx="4363426" cy="13048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r>
            <a:rPr lang="en-IN" sz="1600">
              <a:solidFill>
                <a:srgbClr val="D2D2D2"/>
              </a:solidFill>
            </a:rPr>
            <a:t>Licensed Copy — Not for Redistribution</a:t>
          </a:r>
        </a:p>
        <a:p>
          <a:r>
            <a:rPr lang="en-IN" sz="1600">
              <a:solidFill>
                <a:srgbClr val="D2D2D2"/>
              </a:solidFill>
            </a:rPr>
            <a:t>© SUVI CHEM™ Consultancy Services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51370</xdr:colOff>
      <xdr:row>26</xdr:row>
      <xdr:rowOff>171236</xdr:rowOff>
    </xdr:from>
    <xdr:to>
      <xdr:col>3</xdr:col>
      <xdr:colOff>582202</xdr:colOff>
      <xdr:row>29</xdr:row>
      <xdr:rowOff>171236</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56FF6FC3-C7BE-6087-F760-A0615221879F}"/>
            </a:ext>
          </a:extLst>
        </xdr:cNvPr>
        <xdr:cNvSpPr/>
      </xdr:nvSpPr>
      <xdr:spPr>
        <a:xfrm>
          <a:off x="659258" y="4803169"/>
          <a:ext cx="1746607" cy="539393"/>
        </a:xfrm>
        <a:prstGeom prst="rect">
          <a:avLst/>
        </a:prstGeom>
        <a:solidFill>
          <a:schemeClr val="bg1"/>
        </a:solidFill>
        <a:ln cap="rnd">
          <a:noFill/>
        </a:ln>
        <a:effectLst>
          <a:glow rad="139700">
            <a:schemeClr val="accent4">
              <a:satMod val="175000"/>
              <a:alpha val="40000"/>
            </a:schemeClr>
          </a:glo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200" b="1">
              <a:solidFill>
                <a:srgbClr val="1F4E79"/>
              </a:solidFill>
            </a:rPr>
            <a:t>Input Form</a:t>
          </a:r>
        </a:p>
      </xdr:txBody>
    </xdr:sp>
    <xdr:clientData/>
  </xdr:twoCellAnchor>
  <xdr:twoCellAnchor>
    <xdr:from>
      <xdr:col>4</xdr:col>
      <xdr:colOff>582203</xdr:colOff>
      <xdr:row>27</xdr:row>
      <xdr:rowOff>0</xdr:rowOff>
    </xdr:from>
    <xdr:to>
      <xdr:col>8</xdr:col>
      <xdr:colOff>17125</xdr:colOff>
      <xdr:row>29</xdr:row>
      <xdr:rowOff>171236</xdr:rowOff>
    </xdr:to>
    <xdr:sp macro="" textlink="">
      <xdr:nvSpPr>
        <xdr:cNvPr id="3" name="Rectangle 2">
          <a:hlinkClick xmlns:r="http://schemas.openxmlformats.org/officeDocument/2006/relationships" r:id="rId2"/>
          <a:extLst>
            <a:ext uri="{FF2B5EF4-FFF2-40B4-BE49-F238E27FC236}">
              <a16:creationId xmlns:a16="http://schemas.microsoft.com/office/drawing/2014/main" id="{AD83B049-1C03-8303-A2A5-8EF6CA62547D}"/>
            </a:ext>
          </a:extLst>
        </xdr:cNvPr>
        <xdr:cNvSpPr/>
      </xdr:nvSpPr>
      <xdr:spPr>
        <a:xfrm>
          <a:off x="3013754" y="4811730"/>
          <a:ext cx="1866472" cy="530832"/>
        </a:xfrm>
        <a:prstGeom prst="rect">
          <a:avLst/>
        </a:prstGeom>
        <a:solidFill>
          <a:schemeClr val="bg1"/>
        </a:solidFill>
        <a:ln>
          <a:noFill/>
        </a:ln>
        <a:effectLst>
          <a:glow rad="139700">
            <a:schemeClr val="accent4">
              <a:satMod val="175000"/>
              <a:alpha val="40000"/>
            </a:schemeClr>
          </a:glo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l-GR" sz="1200" b="1">
              <a:solidFill>
                <a:srgbClr val="1F4E79"/>
              </a:solidFill>
            </a:rPr>
            <a:t>Δ</a:t>
          </a:r>
          <a:r>
            <a:rPr lang="en-IN" sz="1200" b="1">
              <a:solidFill>
                <a:srgbClr val="1F4E79"/>
              </a:solidFill>
            </a:rPr>
            <a:t>P Details</a:t>
          </a:r>
        </a:p>
      </xdr:txBody>
    </xdr:sp>
    <xdr:clientData/>
  </xdr:twoCellAnchor>
  <xdr:twoCellAnchor>
    <xdr:from>
      <xdr:col>1</xdr:col>
      <xdr:colOff>42810</xdr:colOff>
      <xdr:row>30</xdr:row>
      <xdr:rowOff>51370</xdr:rowOff>
    </xdr:from>
    <xdr:to>
      <xdr:col>3</xdr:col>
      <xdr:colOff>590765</xdr:colOff>
      <xdr:row>33</xdr:row>
      <xdr:rowOff>68494</xdr:rowOff>
    </xdr:to>
    <xdr:sp macro="" textlink="">
      <xdr:nvSpPr>
        <xdr:cNvPr id="4" name="Rectangle 3">
          <a:hlinkClick xmlns:r="http://schemas.openxmlformats.org/officeDocument/2006/relationships" r:id="rId3"/>
          <a:extLst>
            <a:ext uri="{FF2B5EF4-FFF2-40B4-BE49-F238E27FC236}">
              <a16:creationId xmlns:a16="http://schemas.microsoft.com/office/drawing/2014/main" id="{53A9A9BA-48F7-96D1-C3DA-E212E7B8AB3A}"/>
            </a:ext>
          </a:extLst>
        </xdr:cNvPr>
        <xdr:cNvSpPr/>
      </xdr:nvSpPr>
      <xdr:spPr>
        <a:xfrm>
          <a:off x="652410" y="5629210"/>
          <a:ext cx="1767155" cy="565764"/>
        </a:xfrm>
        <a:prstGeom prst="rect">
          <a:avLst/>
        </a:prstGeom>
        <a:solidFill>
          <a:sysClr val="window" lastClr="FFFFFF"/>
        </a:solidFill>
        <a:ln>
          <a:noFill/>
        </a:ln>
        <a:effectLst>
          <a:glow rad="139700">
            <a:schemeClr val="accent4">
              <a:satMod val="175000"/>
              <a:alpha val="40000"/>
            </a:schemeClr>
          </a:glo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200" b="1">
              <a:solidFill>
                <a:srgbClr val="1F4E79"/>
              </a:solidFill>
            </a:rPr>
            <a:t>View Results</a:t>
          </a:r>
        </a:p>
      </xdr:txBody>
    </xdr:sp>
    <xdr:clientData/>
  </xdr:twoCellAnchor>
  <xdr:twoCellAnchor>
    <xdr:from>
      <xdr:col>4</xdr:col>
      <xdr:colOff>582203</xdr:colOff>
      <xdr:row>30</xdr:row>
      <xdr:rowOff>42810</xdr:rowOff>
    </xdr:from>
    <xdr:to>
      <xdr:col>8</xdr:col>
      <xdr:colOff>17125</xdr:colOff>
      <xdr:row>33</xdr:row>
      <xdr:rowOff>77057</xdr:rowOff>
    </xdr:to>
    <xdr:sp macro="" textlink="">
      <xdr:nvSpPr>
        <xdr:cNvPr id="5" name="Rectangle 4">
          <a:hlinkClick xmlns:r="http://schemas.openxmlformats.org/officeDocument/2006/relationships" r:id="rId4"/>
          <a:extLst>
            <a:ext uri="{FF2B5EF4-FFF2-40B4-BE49-F238E27FC236}">
              <a16:creationId xmlns:a16="http://schemas.microsoft.com/office/drawing/2014/main" id="{2FA813BD-B315-0E2F-5B79-E918EF1A169A}"/>
            </a:ext>
          </a:extLst>
        </xdr:cNvPr>
        <xdr:cNvSpPr>
          <a:spLocks/>
        </xdr:cNvSpPr>
      </xdr:nvSpPr>
      <xdr:spPr>
        <a:xfrm>
          <a:off x="3013754" y="5393934"/>
          <a:ext cx="1866472" cy="573640"/>
        </a:xfrm>
        <a:prstGeom prst="rect">
          <a:avLst/>
        </a:prstGeom>
        <a:ln>
          <a:noFill/>
        </a:ln>
        <a:effectLst>
          <a:glow rad="139700">
            <a:schemeClr val="accent4">
              <a:satMod val="175000"/>
              <a:alpha val="40000"/>
            </a:schemeClr>
          </a:glow>
          <a:outerShdw blurRad="50800" dist="38100" dir="2700000" algn="tl" rotWithShape="0">
            <a:prstClr val="black">
              <a:alpha val="40000"/>
            </a:prstClr>
          </a:outerShdw>
          <a:softEdge rad="0"/>
        </a:effectLst>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lang="en-IN" sz="1200" b="1">
              <a:solidFill>
                <a:srgbClr val="1F4E79"/>
              </a:solidFill>
            </a:rPr>
            <a:t>Recommendations</a:t>
          </a:r>
        </a:p>
      </xdr:txBody>
    </xdr:sp>
    <xdr:clientData/>
  </xdr:twoCellAnchor>
  <xdr:twoCellAnchor>
    <xdr:from>
      <xdr:col>9</xdr:col>
      <xdr:colOff>8562</xdr:colOff>
      <xdr:row>28</xdr:row>
      <xdr:rowOff>8562</xdr:rowOff>
    </xdr:from>
    <xdr:to>
      <xdr:col>11</xdr:col>
      <xdr:colOff>0</xdr:colOff>
      <xdr:row>30</xdr:row>
      <xdr:rowOff>162675</xdr:rowOff>
    </xdr:to>
    <xdr:sp macro="" textlink="">
      <xdr:nvSpPr>
        <xdr:cNvPr id="6" name="Rectangle 5">
          <a:hlinkClick xmlns:r="http://schemas.openxmlformats.org/officeDocument/2006/relationships" r:id="rId5"/>
          <a:extLst>
            <a:ext uri="{FF2B5EF4-FFF2-40B4-BE49-F238E27FC236}">
              <a16:creationId xmlns:a16="http://schemas.microsoft.com/office/drawing/2014/main" id="{2144056A-9BA6-4CF9-E722-1BCA88DDC48A}"/>
            </a:ext>
          </a:extLst>
        </xdr:cNvPr>
        <xdr:cNvSpPr/>
      </xdr:nvSpPr>
      <xdr:spPr>
        <a:xfrm>
          <a:off x="5479551" y="5179888"/>
          <a:ext cx="1207213" cy="513708"/>
        </a:xfrm>
        <a:prstGeom prst="rect">
          <a:avLst/>
        </a:prstGeom>
        <a:solidFill>
          <a:schemeClr val="bg1"/>
        </a:solidFill>
        <a:ln>
          <a:noFill/>
        </a:ln>
        <a:effectLst>
          <a:glow rad="139700">
            <a:schemeClr val="accent4">
              <a:satMod val="175000"/>
              <a:alpha val="40000"/>
            </a:schemeClr>
          </a:glo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IN" sz="1200" b="1">
              <a:solidFill>
                <a:srgbClr val="1F4E79"/>
              </a:solidFill>
              <a:latin typeface="+mn-lt"/>
              <a:ea typeface="+mn-ea"/>
              <a:cs typeface="+mn-cs"/>
            </a:rPr>
            <a:t>Disclaimer</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198120</xdr:colOff>
      <xdr:row>5</xdr:row>
      <xdr:rowOff>71600</xdr:rowOff>
    </xdr:from>
    <xdr:to>
      <xdr:col>5</xdr:col>
      <xdr:colOff>571500</xdr:colOff>
      <xdr:row>8</xdr:row>
      <xdr:rowOff>2007</xdr:rowOff>
    </xdr:to>
    <xdr:pic>
      <xdr:nvPicPr>
        <xdr:cNvPr id="3" name="Picture 2">
          <a:extLst>
            <a:ext uri="{FF2B5EF4-FFF2-40B4-BE49-F238E27FC236}">
              <a16:creationId xmlns:a16="http://schemas.microsoft.com/office/drawing/2014/main" id="{7890CDE3-CC52-0F36-83B0-6AC8F1110AA2}"/>
            </a:ext>
          </a:extLst>
        </xdr:cNvPr>
        <xdr:cNvPicPr>
          <a:picLocks noChangeAspect="1"/>
        </xdr:cNvPicPr>
      </xdr:nvPicPr>
      <xdr:blipFill>
        <a:blip xmlns:r="http://schemas.openxmlformats.org/officeDocument/2006/relationships" r:embed="rId1"/>
        <a:stretch>
          <a:fillRect/>
        </a:stretch>
      </xdr:blipFill>
      <xdr:spPr>
        <a:xfrm>
          <a:off x="4846320" y="986000"/>
          <a:ext cx="982980" cy="479047"/>
        </a:xfrm>
        <a:prstGeom prst="rect">
          <a:avLst/>
        </a:prstGeom>
      </xdr:spPr>
    </xdr:pic>
    <xdr:clientData/>
  </xdr:twoCellAnchor>
  <xdr:twoCellAnchor editAs="oneCell">
    <xdr:from>
      <xdr:col>2</xdr:col>
      <xdr:colOff>388620</xdr:colOff>
      <xdr:row>7</xdr:row>
      <xdr:rowOff>152400</xdr:rowOff>
    </xdr:from>
    <xdr:to>
      <xdr:col>5</xdr:col>
      <xdr:colOff>7620</xdr:colOff>
      <xdr:row>9</xdr:row>
      <xdr:rowOff>131355</xdr:rowOff>
    </xdr:to>
    <xdr:pic>
      <xdr:nvPicPr>
        <xdr:cNvPr id="4" name="Picture 3">
          <a:extLst>
            <a:ext uri="{FF2B5EF4-FFF2-40B4-BE49-F238E27FC236}">
              <a16:creationId xmlns:a16="http://schemas.microsoft.com/office/drawing/2014/main" id="{2873083E-69E1-44D3-9D24-701AE9E223E0}"/>
            </a:ext>
          </a:extLst>
        </xdr:cNvPr>
        <xdr:cNvPicPr>
          <a:picLocks noChangeAspect="1"/>
        </xdr:cNvPicPr>
      </xdr:nvPicPr>
      <xdr:blipFill>
        <a:blip xmlns:r="http://schemas.openxmlformats.org/officeDocument/2006/relationships" r:embed="rId2"/>
        <a:stretch>
          <a:fillRect/>
        </a:stretch>
      </xdr:blipFill>
      <xdr:spPr>
        <a:xfrm>
          <a:off x="3817620" y="1432560"/>
          <a:ext cx="1447800" cy="344715"/>
        </a:xfrm>
        <a:prstGeom prst="rect">
          <a:avLst/>
        </a:prstGeom>
      </xdr:spPr>
    </xdr:pic>
    <xdr:clientData/>
  </xdr:twoCellAnchor>
  <xdr:twoCellAnchor editAs="oneCell">
    <xdr:from>
      <xdr:col>2</xdr:col>
      <xdr:colOff>68580</xdr:colOff>
      <xdr:row>21</xdr:row>
      <xdr:rowOff>27402</xdr:rowOff>
    </xdr:from>
    <xdr:to>
      <xdr:col>4</xdr:col>
      <xdr:colOff>15240</xdr:colOff>
      <xdr:row>22</xdr:row>
      <xdr:rowOff>41966</xdr:rowOff>
    </xdr:to>
    <xdr:pic>
      <xdr:nvPicPr>
        <xdr:cNvPr id="5" name="Picture 4">
          <a:extLst>
            <a:ext uri="{FF2B5EF4-FFF2-40B4-BE49-F238E27FC236}">
              <a16:creationId xmlns:a16="http://schemas.microsoft.com/office/drawing/2014/main" id="{0FD3574D-B536-3642-5A88-F80E32F7FAFF}"/>
            </a:ext>
          </a:extLst>
        </xdr:cNvPr>
        <xdr:cNvPicPr>
          <a:picLocks noChangeAspect="1"/>
        </xdr:cNvPicPr>
      </xdr:nvPicPr>
      <xdr:blipFill>
        <a:blip xmlns:r="http://schemas.openxmlformats.org/officeDocument/2006/relationships" r:embed="rId3"/>
        <a:stretch>
          <a:fillRect/>
        </a:stretch>
      </xdr:blipFill>
      <xdr:spPr>
        <a:xfrm>
          <a:off x="3497580" y="3867882"/>
          <a:ext cx="1165860" cy="197444"/>
        </a:xfrm>
        <a:prstGeom prst="rect">
          <a:avLst/>
        </a:prstGeom>
      </xdr:spPr>
    </xdr:pic>
    <xdr:clientData/>
  </xdr:twoCellAnchor>
  <xdr:twoCellAnchor editAs="oneCell">
    <xdr:from>
      <xdr:col>1</xdr:col>
      <xdr:colOff>784860</xdr:colOff>
      <xdr:row>23</xdr:row>
      <xdr:rowOff>26222</xdr:rowOff>
    </xdr:from>
    <xdr:to>
      <xdr:col>4</xdr:col>
      <xdr:colOff>392927</xdr:colOff>
      <xdr:row>24</xdr:row>
      <xdr:rowOff>127713</xdr:rowOff>
    </xdr:to>
    <xdr:pic>
      <xdr:nvPicPr>
        <xdr:cNvPr id="6" name="Picture 5">
          <a:extLst>
            <a:ext uri="{FF2B5EF4-FFF2-40B4-BE49-F238E27FC236}">
              <a16:creationId xmlns:a16="http://schemas.microsoft.com/office/drawing/2014/main" id="{AB04D404-460C-6342-8BD3-F163B81B7F44}"/>
            </a:ext>
          </a:extLst>
        </xdr:cNvPr>
        <xdr:cNvPicPr>
          <a:picLocks noChangeAspect="1"/>
        </xdr:cNvPicPr>
      </xdr:nvPicPr>
      <xdr:blipFill>
        <a:blip xmlns:r="http://schemas.openxmlformats.org/officeDocument/2006/relationships" r:embed="rId4"/>
        <a:stretch>
          <a:fillRect/>
        </a:stretch>
      </xdr:blipFill>
      <xdr:spPr>
        <a:xfrm>
          <a:off x="3390900" y="4232462"/>
          <a:ext cx="1802627" cy="28437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594361</xdr:colOff>
      <xdr:row>32</xdr:row>
      <xdr:rowOff>165170</xdr:rowOff>
    </xdr:from>
    <xdr:to>
      <xdr:col>5</xdr:col>
      <xdr:colOff>53341</xdr:colOff>
      <xdr:row>35</xdr:row>
      <xdr:rowOff>34419</xdr:rowOff>
    </xdr:to>
    <xdr:pic>
      <xdr:nvPicPr>
        <xdr:cNvPr id="2" name="Picture 1">
          <a:extLst>
            <a:ext uri="{FF2B5EF4-FFF2-40B4-BE49-F238E27FC236}">
              <a16:creationId xmlns:a16="http://schemas.microsoft.com/office/drawing/2014/main" id="{9E66BF4F-38D0-28A5-62FA-4B135C7293A5}"/>
            </a:ext>
          </a:extLst>
        </xdr:cNvPr>
        <xdr:cNvPicPr>
          <a:picLocks noChangeAspect="1"/>
        </xdr:cNvPicPr>
      </xdr:nvPicPr>
      <xdr:blipFill>
        <a:blip xmlns:r="http://schemas.openxmlformats.org/officeDocument/2006/relationships" r:embed="rId1"/>
        <a:stretch>
          <a:fillRect/>
        </a:stretch>
      </xdr:blipFill>
      <xdr:spPr>
        <a:xfrm>
          <a:off x="2804161" y="6017330"/>
          <a:ext cx="1287780" cy="41788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480060</xdr:colOff>
      <xdr:row>21</xdr:row>
      <xdr:rowOff>114300</xdr:rowOff>
    </xdr:from>
    <xdr:to>
      <xdr:col>8</xdr:col>
      <xdr:colOff>413801</xdr:colOff>
      <xdr:row>24</xdr:row>
      <xdr:rowOff>146766</xdr:rowOff>
    </xdr:to>
    <xdr:pic>
      <xdr:nvPicPr>
        <xdr:cNvPr id="2" name="Picture 1">
          <a:extLst>
            <a:ext uri="{FF2B5EF4-FFF2-40B4-BE49-F238E27FC236}">
              <a16:creationId xmlns:a16="http://schemas.microsoft.com/office/drawing/2014/main" id="{30C64FE2-2459-0D0D-104C-4424449911E4}"/>
            </a:ext>
          </a:extLst>
        </xdr:cNvPr>
        <xdr:cNvPicPr>
          <a:picLocks noChangeAspect="1"/>
        </xdr:cNvPicPr>
      </xdr:nvPicPr>
      <xdr:blipFill>
        <a:blip xmlns:r="http://schemas.openxmlformats.org/officeDocument/2006/relationships" r:embed="rId1"/>
        <a:stretch>
          <a:fillRect/>
        </a:stretch>
      </xdr:blipFill>
      <xdr:spPr>
        <a:xfrm>
          <a:off x="2308860" y="3954780"/>
          <a:ext cx="2981741" cy="581106"/>
        </a:xfrm>
        <a:prstGeom prst="rect">
          <a:avLst/>
        </a:prstGeom>
      </xdr:spPr>
    </xdr:pic>
    <xdr:clientData/>
  </xdr:twoCellAnchor>
  <xdr:twoCellAnchor editAs="oneCell">
    <xdr:from>
      <xdr:col>3</xdr:col>
      <xdr:colOff>160020</xdr:colOff>
      <xdr:row>51</xdr:row>
      <xdr:rowOff>137160</xdr:rowOff>
    </xdr:from>
    <xdr:to>
      <xdr:col>5</xdr:col>
      <xdr:colOff>407875</xdr:colOff>
      <xdr:row>54</xdr:row>
      <xdr:rowOff>64836</xdr:rowOff>
    </xdr:to>
    <xdr:pic>
      <xdr:nvPicPr>
        <xdr:cNvPr id="3" name="Picture 2">
          <a:extLst>
            <a:ext uri="{FF2B5EF4-FFF2-40B4-BE49-F238E27FC236}">
              <a16:creationId xmlns:a16="http://schemas.microsoft.com/office/drawing/2014/main" id="{D6407B3D-DE6B-7EA4-54E8-8D176EB40959}"/>
            </a:ext>
          </a:extLst>
        </xdr:cNvPr>
        <xdr:cNvPicPr>
          <a:picLocks noChangeAspect="1"/>
        </xdr:cNvPicPr>
      </xdr:nvPicPr>
      <xdr:blipFill>
        <a:blip xmlns:r="http://schemas.openxmlformats.org/officeDocument/2006/relationships" r:embed="rId2"/>
        <a:stretch>
          <a:fillRect/>
        </a:stretch>
      </xdr:blipFill>
      <xdr:spPr>
        <a:xfrm>
          <a:off x="1988820" y="9692640"/>
          <a:ext cx="1467055" cy="476316"/>
        </a:xfrm>
        <a:prstGeom prst="rect">
          <a:avLst/>
        </a:prstGeom>
      </xdr:spPr>
    </xdr:pic>
    <xdr:clientData/>
  </xdr:twoCellAnchor>
  <xdr:twoCellAnchor editAs="oneCell">
    <xdr:from>
      <xdr:col>3</xdr:col>
      <xdr:colOff>0</xdr:colOff>
      <xdr:row>99</xdr:row>
      <xdr:rowOff>0</xdr:rowOff>
    </xdr:from>
    <xdr:to>
      <xdr:col>6</xdr:col>
      <xdr:colOff>133624</xdr:colOff>
      <xdr:row>101</xdr:row>
      <xdr:rowOff>53398</xdr:rowOff>
    </xdr:to>
    <xdr:pic>
      <xdr:nvPicPr>
        <xdr:cNvPr id="4" name="Picture 3">
          <a:extLst>
            <a:ext uri="{FF2B5EF4-FFF2-40B4-BE49-F238E27FC236}">
              <a16:creationId xmlns:a16="http://schemas.microsoft.com/office/drawing/2014/main" id="{45E3818C-A5B2-C11D-607B-161F509C5C34}"/>
            </a:ext>
          </a:extLst>
        </xdr:cNvPr>
        <xdr:cNvPicPr>
          <a:picLocks noChangeAspect="1"/>
        </xdr:cNvPicPr>
      </xdr:nvPicPr>
      <xdr:blipFill>
        <a:blip xmlns:r="http://schemas.openxmlformats.org/officeDocument/2006/relationships" r:embed="rId3"/>
        <a:stretch>
          <a:fillRect/>
        </a:stretch>
      </xdr:blipFill>
      <xdr:spPr>
        <a:xfrm>
          <a:off x="1828800" y="19552920"/>
          <a:ext cx="1962424" cy="419158"/>
        </a:xfrm>
        <a:prstGeom prst="rect">
          <a:avLst/>
        </a:prstGeom>
      </xdr:spPr>
    </xdr:pic>
    <xdr:clientData/>
  </xdr:twoCellAnchor>
  <xdr:twoCellAnchor editAs="oneCell">
    <xdr:from>
      <xdr:col>4</xdr:col>
      <xdr:colOff>0</xdr:colOff>
      <xdr:row>129</xdr:row>
      <xdr:rowOff>0</xdr:rowOff>
    </xdr:from>
    <xdr:to>
      <xdr:col>8</xdr:col>
      <xdr:colOff>28919</xdr:colOff>
      <xdr:row>133</xdr:row>
      <xdr:rowOff>49639</xdr:rowOff>
    </xdr:to>
    <xdr:pic>
      <xdr:nvPicPr>
        <xdr:cNvPr id="5" name="Picture 4">
          <a:extLst>
            <a:ext uri="{FF2B5EF4-FFF2-40B4-BE49-F238E27FC236}">
              <a16:creationId xmlns:a16="http://schemas.microsoft.com/office/drawing/2014/main" id="{053690E8-68F4-0BED-08E3-C869301CF698}"/>
            </a:ext>
          </a:extLst>
        </xdr:cNvPr>
        <xdr:cNvPicPr>
          <a:picLocks noChangeAspect="1"/>
        </xdr:cNvPicPr>
      </xdr:nvPicPr>
      <xdr:blipFill>
        <a:blip xmlns:r="http://schemas.openxmlformats.org/officeDocument/2006/relationships" r:embed="rId4"/>
        <a:stretch>
          <a:fillRect/>
        </a:stretch>
      </xdr:blipFill>
      <xdr:spPr>
        <a:xfrm>
          <a:off x="2438400" y="25092660"/>
          <a:ext cx="2467319" cy="781159"/>
        </a:xfrm>
        <a:prstGeom prst="rect">
          <a:avLst/>
        </a:prstGeom>
      </xdr:spPr>
    </xdr:pic>
    <xdr:clientData/>
  </xdr:twoCellAnchor>
  <xdr:twoCellAnchor editAs="oneCell">
    <xdr:from>
      <xdr:col>6</xdr:col>
      <xdr:colOff>0</xdr:colOff>
      <xdr:row>186</xdr:row>
      <xdr:rowOff>0</xdr:rowOff>
    </xdr:from>
    <xdr:to>
      <xdr:col>10</xdr:col>
      <xdr:colOff>95705</xdr:colOff>
      <xdr:row>188</xdr:row>
      <xdr:rowOff>177241</xdr:rowOff>
    </xdr:to>
    <xdr:pic>
      <xdr:nvPicPr>
        <xdr:cNvPr id="6" name="Picture 5">
          <a:extLst>
            <a:ext uri="{FF2B5EF4-FFF2-40B4-BE49-F238E27FC236}">
              <a16:creationId xmlns:a16="http://schemas.microsoft.com/office/drawing/2014/main" id="{FDA8FCD0-F4CA-AC73-BDBA-8FAB14093395}"/>
            </a:ext>
          </a:extLst>
        </xdr:cNvPr>
        <xdr:cNvPicPr>
          <a:picLocks noChangeAspect="1"/>
        </xdr:cNvPicPr>
      </xdr:nvPicPr>
      <xdr:blipFill>
        <a:blip xmlns:r="http://schemas.openxmlformats.org/officeDocument/2006/relationships" r:embed="rId5"/>
        <a:stretch>
          <a:fillRect/>
        </a:stretch>
      </xdr:blipFill>
      <xdr:spPr>
        <a:xfrm>
          <a:off x="3657600" y="36499800"/>
          <a:ext cx="3258005" cy="543001"/>
        </a:xfrm>
        <a:prstGeom prst="rect">
          <a:avLst/>
        </a:prstGeom>
      </xdr:spPr>
    </xdr:pic>
    <xdr:clientData/>
  </xdr:twoCellAnchor>
  <xdr:twoCellAnchor editAs="oneCell">
    <xdr:from>
      <xdr:col>4</xdr:col>
      <xdr:colOff>549261</xdr:colOff>
      <xdr:row>228</xdr:row>
      <xdr:rowOff>38100</xdr:rowOff>
    </xdr:from>
    <xdr:to>
      <xdr:col>7</xdr:col>
      <xdr:colOff>101259</xdr:colOff>
      <xdr:row>231</xdr:row>
      <xdr:rowOff>26784</xdr:rowOff>
    </xdr:to>
    <xdr:pic>
      <xdr:nvPicPr>
        <xdr:cNvPr id="7" name="Picture 6">
          <a:extLst>
            <a:ext uri="{FF2B5EF4-FFF2-40B4-BE49-F238E27FC236}">
              <a16:creationId xmlns:a16="http://schemas.microsoft.com/office/drawing/2014/main" id="{5A73208E-6099-A4E1-80DB-FFD235BB532A}"/>
            </a:ext>
          </a:extLst>
        </xdr:cNvPr>
        <xdr:cNvPicPr>
          <a:picLocks noChangeAspect="1"/>
        </xdr:cNvPicPr>
      </xdr:nvPicPr>
      <xdr:blipFill>
        <a:blip xmlns:r="http://schemas.openxmlformats.org/officeDocument/2006/relationships" r:embed="rId6"/>
        <a:stretch>
          <a:fillRect/>
        </a:stretch>
      </xdr:blipFill>
      <xdr:spPr>
        <a:xfrm>
          <a:off x="2987661" y="44424600"/>
          <a:ext cx="1380798" cy="537324"/>
        </a:xfrm>
        <a:prstGeom prst="rect">
          <a:avLst/>
        </a:prstGeom>
      </xdr:spPr>
    </xdr:pic>
    <xdr:clientData/>
  </xdr:twoCellAnchor>
  <xdr:twoCellAnchor editAs="oneCell">
    <xdr:from>
      <xdr:col>5</xdr:col>
      <xdr:colOff>106680</xdr:colOff>
      <xdr:row>286</xdr:row>
      <xdr:rowOff>153837</xdr:rowOff>
    </xdr:from>
    <xdr:to>
      <xdr:col>9</xdr:col>
      <xdr:colOff>151009</xdr:colOff>
      <xdr:row>290</xdr:row>
      <xdr:rowOff>123959</xdr:rowOff>
    </xdr:to>
    <xdr:pic>
      <xdr:nvPicPr>
        <xdr:cNvPr id="8" name="Picture 7">
          <a:extLst>
            <a:ext uri="{FF2B5EF4-FFF2-40B4-BE49-F238E27FC236}">
              <a16:creationId xmlns:a16="http://schemas.microsoft.com/office/drawing/2014/main" id="{10AE6387-CA67-3CEA-3B9D-B564A289C283}"/>
            </a:ext>
          </a:extLst>
        </xdr:cNvPr>
        <xdr:cNvPicPr>
          <a:picLocks noChangeAspect="1"/>
        </xdr:cNvPicPr>
      </xdr:nvPicPr>
      <xdr:blipFill>
        <a:blip xmlns:r="http://schemas.openxmlformats.org/officeDocument/2006/relationships" r:embed="rId7"/>
        <a:stretch>
          <a:fillRect/>
        </a:stretch>
      </xdr:blipFill>
      <xdr:spPr>
        <a:xfrm>
          <a:off x="3154680" y="57486717"/>
          <a:ext cx="2688469" cy="701642"/>
        </a:xfrm>
        <a:prstGeom prst="rect">
          <a:avLst/>
        </a:prstGeom>
      </xdr:spPr>
    </xdr:pic>
    <xdr:clientData/>
  </xdr:twoCellAnchor>
  <xdr:twoCellAnchor editAs="oneCell">
    <xdr:from>
      <xdr:col>5</xdr:col>
      <xdr:colOff>320041</xdr:colOff>
      <xdr:row>299</xdr:row>
      <xdr:rowOff>99061</xdr:rowOff>
    </xdr:from>
    <xdr:to>
      <xdr:col>9</xdr:col>
      <xdr:colOff>579515</xdr:colOff>
      <xdr:row>301</xdr:row>
      <xdr:rowOff>137161</xdr:rowOff>
    </xdr:to>
    <xdr:pic>
      <xdr:nvPicPr>
        <xdr:cNvPr id="9" name="Picture 8">
          <a:extLst>
            <a:ext uri="{FF2B5EF4-FFF2-40B4-BE49-F238E27FC236}">
              <a16:creationId xmlns:a16="http://schemas.microsoft.com/office/drawing/2014/main" id="{BC3C1FB3-E2D2-3183-3169-6CC77DCAD3C9}"/>
            </a:ext>
          </a:extLst>
        </xdr:cNvPr>
        <xdr:cNvPicPr>
          <a:picLocks noChangeAspect="1"/>
        </xdr:cNvPicPr>
      </xdr:nvPicPr>
      <xdr:blipFill>
        <a:blip xmlns:r="http://schemas.openxmlformats.org/officeDocument/2006/relationships" r:embed="rId8"/>
        <a:stretch>
          <a:fillRect/>
        </a:stretch>
      </xdr:blipFill>
      <xdr:spPr>
        <a:xfrm>
          <a:off x="3368041" y="60022741"/>
          <a:ext cx="2903614" cy="403860"/>
        </a:xfrm>
        <a:prstGeom prst="rect">
          <a:avLst/>
        </a:prstGeom>
      </xdr:spPr>
    </xdr:pic>
    <xdr:clientData/>
  </xdr:twoCellAnchor>
  <xdr:twoCellAnchor editAs="oneCell">
    <xdr:from>
      <xdr:col>4</xdr:col>
      <xdr:colOff>579120</xdr:colOff>
      <xdr:row>314</xdr:row>
      <xdr:rowOff>167640</xdr:rowOff>
    </xdr:from>
    <xdr:to>
      <xdr:col>7</xdr:col>
      <xdr:colOff>190500</xdr:colOff>
      <xdr:row>317</xdr:row>
      <xdr:rowOff>20063</xdr:rowOff>
    </xdr:to>
    <xdr:pic>
      <xdr:nvPicPr>
        <xdr:cNvPr id="10" name="Picture 9">
          <a:extLst>
            <a:ext uri="{FF2B5EF4-FFF2-40B4-BE49-F238E27FC236}">
              <a16:creationId xmlns:a16="http://schemas.microsoft.com/office/drawing/2014/main" id="{BAC33A20-45B5-7F03-3F3A-C1AF78268A87}"/>
            </a:ext>
          </a:extLst>
        </xdr:cNvPr>
        <xdr:cNvPicPr>
          <a:picLocks noChangeAspect="1"/>
        </xdr:cNvPicPr>
      </xdr:nvPicPr>
      <xdr:blipFill>
        <a:blip xmlns:r="http://schemas.openxmlformats.org/officeDocument/2006/relationships" r:embed="rId9"/>
        <a:stretch>
          <a:fillRect/>
        </a:stretch>
      </xdr:blipFill>
      <xdr:spPr>
        <a:xfrm>
          <a:off x="3017520" y="62849760"/>
          <a:ext cx="1440180" cy="401063"/>
        </a:xfrm>
        <a:prstGeom prst="rect">
          <a:avLst/>
        </a:prstGeom>
      </xdr:spPr>
    </xdr:pic>
    <xdr:clientData/>
  </xdr:twoCellAnchor>
  <xdr:twoCellAnchor editAs="oneCell">
    <xdr:from>
      <xdr:col>4</xdr:col>
      <xdr:colOff>441961</xdr:colOff>
      <xdr:row>316</xdr:row>
      <xdr:rowOff>139632</xdr:rowOff>
    </xdr:from>
    <xdr:to>
      <xdr:col>7</xdr:col>
      <xdr:colOff>274321</xdr:colOff>
      <xdr:row>319</xdr:row>
      <xdr:rowOff>127761</xdr:rowOff>
    </xdr:to>
    <xdr:pic>
      <xdr:nvPicPr>
        <xdr:cNvPr id="11" name="Picture 10">
          <a:extLst>
            <a:ext uri="{FF2B5EF4-FFF2-40B4-BE49-F238E27FC236}">
              <a16:creationId xmlns:a16="http://schemas.microsoft.com/office/drawing/2014/main" id="{88B017AE-11D9-E64B-651D-F135279244B5}"/>
            </a:ext>
          </a:extLst>
        </xdr:cNvPr>
        <xdr:cNvPicPr>
          <a:picLocks noChangeAspect="1"/>
        </xdr:cNvPicPr>
      </xdr:nvPicPr>
      <xdr:blipFill>
        <a:blip xmlns:r="http://schemas.openxmlformats.org/officeDocument/2006/relationships" r:embed="rId10"/>
        <a:stretch>
          <a:fillRect/>
        </a:stretch>
      </xdr:blipFill>
      <xdr:spPr>
        <a:xfrm>
          <a:off x="2880361" y="63187512"/>
          <a:ext cx="1661160" cy="536769"/>
        </a:xfrm>
        <a:prstGeom prst="rect">
          <a:avLst/>
        </a:prstGeom>
      </xdr:spPr>
    </xdr:pic>
    <xdr:clientData/>
  </xdr:twoCellAnchor>
  <xdr:twoCellAnchor editAs="oneCell">
    <xdr:from>
      <xdr:col>4</xdr:col>
      <xdr:colOff>518161</xdr:colOff>
      <xdr:row>319</xdr:row>
      <xdr:rowOff>129540</xdr:rowOff>
    </xdr:from>
    <xdr:to>
      <xdr:col>7</xdr:col>
      <xdr:colOff>126613</xdr:colOff>
      <xdr:row>322</xdr:row>
      <xdr:rowOff>137256</xdr:rowOff>
    </xdr:to>
    <xdr:pic>
      <xdr:nvPicPr>
        <xdr:cNvPr id="12" name="Picture 11">
          <a:extLst>
            <a:ext uri="{FF2B5EF4-FFF2-40B4-BE49-F238E27FC236}">
              <a16:creationId xmlns:a16="http://schemas.microsoft.com/office/drawing/2014/main" id="{13BF40F5-06F8-F50E-6CAF-009A4018E8F4}"/>
            </a:ext>
          </a:extLst>
        </xdr:cNvPr>
        <xdr:cNvPicPr>
          <a:picLocks noChangeAspect="1"/>
        </xdr:cNvPicPr>
      </xdr:nvPicPr>
      <xdr:blipFill>
        <a:blip xmlns:r="http://schemas.openxmlformats.org/officeDocument/2006/relationships" r:embed="rId11"/>
        <a:stretch>
          <a:fillRect/>
        </a:stretch>
      </xdr:blipFill>
      <xdr:spPr>
        <a:xfrm>
          <a:off x="2956561" y="63726060"/>
          <a:ext cx="1437252" cy="556356"/>
        </a:xfrm>
        <a:prstGeom prst="rect">
          <a:avLst/>
        </a:prstGeom>
      </xdr:spPr>
    </xdr:pic>
    <xdr:clientData/>
  </xdr:twoCellAnchor>
  <xdr:twoCellAnchor editAs="oneCell">
    <xdr:from>
      <xdr:col>5</xdr:col>
      <xdr:colOff>167640</xdr:colOff>
      <xdr:row>326</xdr:row>
      <xdr:rowOff>41954</xdr:rowOff>
    </xdr:from>
    <xdr:to>
      <xdr:col>7</xdr:col>
      <xdr:colOff>533400</xdr:colOff>
      <xdr:row>328</xdr:row>
      <xdr:rowOff>181080</xdr:rowOff>
    </xdr:to>
    <xdr:pic>
      <xdr:nvPicPr>
        <xdr:cNvPr id="13" name="Picture 12">
          <a:extLst>
            <a:ext uri="{FF2B5EF4-FFF2-40B4-BE49-F238E27FC236}">
              <a16:creationId xmlns:a16="http://schemas.microsoft.com/office/drawing/2014/main" id="{2A681663-1136-D2B0-2D8C-63E227CD78E5}"/>
            </a:ext>
          </a:extLst>
        </xdr:cNvPr>
        <xdr:cNvPicPr>
          <a:picLocks noChangeAspect="1"/>
        </xdr:cNvPicPr>
      </xdr:nvPicPr>
      <xdr:blipFill>
        <a:blip xmlns:r="http://schemas.openxmlformats.org/officeDocument/2006/relationships" r:embed="rId12"/>
        <a:stretch>
          <a:fillRect/>
        </a:stretch>
      </xdr:blipFill>
      <xdr:spPr>
        <a:xfrm>
          <a:off x="3215640" y="64918634"/>
          <a:ext cx="1584960" cy="504886"/>
        </a:xfrm>
        <a:prstGeom prst="rect">
          <a:avLst/>
        </a:prstGeom>
      </xdr:spPr>
    </xdr:pic>
    <xdr:clientData/>
  </xdr:twoCellAnchor>
  <xdr:twoCellAnchor editAs="oneCell">
    <xdr:from>
      <xdr:col>13</xdr:col>
      <xdr:colOff>350520</xdr:colOff>
      <xdr:row>298</xdr:row>
      <xdr:rowOff>53340</xdr:rowOff>
    </xdr:from>
    <xdr:to>
      <xdr:col>18</xdr:col>
      <xdr:colOff>303314</xdr:colOff>
      <xdr:row>302</xdr:row>
      <xdr:rowOff>36295</xdr:rowOff>
    </xdr:to>
    <xdr:pic>
      <xdr:nvPicPr>
        <xdr:cNvPr id="14" name="Picture 13">
          <a:extLst>
            <a:ext uri="{FF2B5EF4-FFF2-40B4-BE49-F238E27FC236}">
              <a16:creationId xmlns:a16="http://schemas.microsoft.com/office/drawing/2014/main" id="{201EAA9D-C2A5-283A-A52E-1AB0612C35C0}"/>
            </a:ext>
          </a:extLst>
        </xdr:cNvPr>
        <xdr:cNvPicPr>
          <a:picLocks noChangeAspect="1"/>
        </xdr:cNvPicPr>
      </xdr:nvPicPr>
      <xdr:blipFill>
        <a:blip xmlns:r="http://schemas.openxmlformats.org/officeDocument/2006/relationships" r:embed="rId13"/>
        <a:stretch>
          <a:fillRect/>
        </a:stretch>
      </xdr:blipFill>
      <xdr:spPr>
        <a:xfrm>
          <a:off x="8999220" y="59794140"/>
          <a:ext cx="3000794" cy="71447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SUVI CHEM" id="{97CA8EC9-5A05-43B5-8592-A4F8815709DD}" userId="bd5ff1ebfed4dca4" providerId="Windows Liv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H26" dT="2026-01-08T09:36:27.54" personId="{97CA8EC9-5A05-43B5-8592-A4F8815709DD}" id="{6F37AA25-6A5A-49DE-9CB5-6CD32B0FC4B8}">
    <text>Allowable ΔP Logic:
• If client/process datasheet specifies allowable ΔP, that value governs.
• If no datasheet value is provided, an industry guideline ΔP based on fluid type is used.
• Exceeding allowable ΔP indicates potential operability or pumping limitations and requires engineering review.</text>
  </threadedComment>
</ThreadedComments>
</file>

<file path=xl/threadedComments/threadedComment2.xml><?xml version="1.0" encoding="utf-8"?>
<ThreadedComments xmlns="http://schemas.microsoft.com/office/spreadsheetml/2018/threadedcomments" xmlns:x="http://schemas.openxmlformats.org/spreadsheetml/2006/main">
  <threadedComment ref="B19" dT="2026-01-09T05:36:35.40" personId="{97CA8EC9-5A05-43B5-8592-A4F8815709DD}" id="{20B4CF8D-8957-4D7E-A8BD-A95B70964EB6}">
    <text>Shell-side mass velocity (Gs) governs frictional pressure drop.
ΔPcf ∝ Gs² / (2ρ)
High Gs significantly increases shell-side pressure drop and vibration risk.
Reference:
Bell &amp; Mueller (1973), AIChE Symposium Series
Kern, Process Heat Transfer</text>
  </threadedComment>
  <threadedComment ref="B20" dT="2026-01-09T05:37:16.47" personId="{97CA8EC9-5A05-43B5-8592-A4F8815709DD}" id="{87A05A76-7CA2-40D2-B97B-1B30B91FFA26}">
    <text>Cross-flow area (As) is the effective flow area normal to shell-side cross-flow.
Gs = ṁ / As
Low As increases velocity and pressure drop.
Reference:
Bell–Delaware Method
Perry’s Chemical Engineers’ Handbook</text>
  </threadedComment>
  <threadedComment ref="B21" dT="2026-01-09T05:37:45.95" personId="{97CA8EC9-5A05-43B5-8592-A4F8815709DD}" id="{BC0F9E36-E7AC-401C-B0D3-373B563D5688}">
    <text>Equivalent diameter (De) represents hydraulic diameter for shell-side cross-flow.
Smaller De increases friction factor and pressure drop.
De depends on tube layout and pitch.
Reference:
Bell–Delaware correlations
Perry’s Chemical Engineers’ Handbook</text>
  </threadedComment>
  <threadedComment ref="B22" dT="2026-01-09T05:43:26.30" personId="{97CA8EC9-5A05-43B5-8592-A4F8815709DD}" id="{6CA9DF75-CB91-469A-BF07-4EA8B80B9392}">
    <text>Number of cross-flow sections (N_cf) represents the number of times shell-side fluid crosses the tube bundle.
N_cf = L_s / L_b
Shell-side pressure drop increases approximately linearly with N_cf.
Excessive N_cf indicates tight baffle spacing, which increases hydraulic resistance.
Reference:
Bell &amp; Mueller (1973), AIChE Symposium Series
Bell–Delaware Method
Perry’s Chemical Engineers’ Handbook</text>
  </threadedComment>
  <threadedComment ref="B23" dT="2026-01-09T05:38:43.40" personId="{97CA8EC9-5A05-43B5-8592-A4F8815709DD}" id="{9C5A8410-4C1F-44DA-9600-B52E6781D486}">
    <text>Leakage correction factor (Rl) accounts for shell-to-baffle and tube-to-baffle leakage.
Rl &lt; 1 indicates flow leakage reducing effective cross-flow.
Typical values: 0.85–0.95
Reference:
Bell &amp; Mueller (1973)
University of Delaware Heat Exchanger Program</text>
  </threadedComment>
  <threadedComment ref="B24" dT="2026-01-09T05:39:08.74" personId="{97CA8EC9-5A05-43B5-8592-A4F8815709DD}" id="{179C7E5D-D823-4A13-B3EC-D388EFE90AB4}">
    <text>Bypass correction factor (Rb) accounts for shell-to-bundle bypass flow.
Low Rb indicates significant bypassing, reducing heat transfer effectiveness.
Typical values: 0.70–0.90
Reference:
Bell–Delaware Method
TEMA mechanical tolerances</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6.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23"/>
  <sheetViews>
    <sheetView showGridLines="0" workbookViewId="0">
      <selection activeCell="G12" sqref="G12"/>
    </sheetView>
  </sheetViews>
  <sheetFormatPr defaultRowHeight="14.4" x14ac:dyDescent="0.3"/>
  <cols>
    <col min="1" max="4" width="30" customWidth="1"/>
  </cols>
  <sheetData>
    <row r="1" spans="1:4" ht="7.2" customHeight="1" x14ac:dyDescent="0.3">
      <c r="A1" s="95"/>
      <c r="B1" s="95"/>
      <c r="C1" s="95"/>
      <c r="D1" s="95"/>
    </row>
    <row r="2" spans="1:4" ht="25.8" customHeight="1" x14ac:dyDescent="0.3">
      <c r="A2" s="99" t="s">
        <v>118</v>
      </c>
      <c r="B2" s="99"/>
      <c r="C2" s="99"/>
      <c r="D2" s="99"/>
    </row>
    <row r="3" spans="1:4" ht="14.4" customHeight="1" x14ac:dyDescent="0.3">
      <c r="A3" s="101" t="s">
        <v>899</v>
      </c>
      <c r="B3" s="101"/>
      <c r="C3" s="101"/>
      <c r="D3" s="96" t="s">
        <v>900</v>
      </c>
    </row>
    <row r="4" spans="1:4" ht="15.6" x14ac:dyDescent="0.3">
      <c r="A4" s="97"/>
      <c r="B4" s="98"/>
      <c r="C4" s="98"/>
      <c r="D4" s="98"/>
    </row>
    <row r="5" spans="1:4" x14ac:dyDescent="0.3">
      <c r="A5" s="11"/>
      <c r="B5" s="11"/>
      <c r="C5" s="11"/>
      <c r="D5" s="11"/>
    </row>
    <row r="6" spans="1:4" x14ac:dyDescent="0.3">
      <c r="A6" s="11"/>
      <c r="B6" s="11"/>
      <c r="C6" s="11"/>
      <c r="D6" s="11"/>
    </row>
    <row r="7" spans="1:4" x14ac:dyDescent="0.3">
      <c r="A7" s="11"/>
      <c r="B7" s="11"/>
      <c r="C7" s="11"/>
      <c r="D7" s="11"/>
    </row>
    <row r="8" spans="1:4" x14ac:dyDescent="0.3">
      <c r="A8" s="11"/>
      <c r="B8" s="11"/>
      <c r="C8" s="11"/>
      <c r="D8" s="11"/>
    </row>
    <row r="9" spans="1:4" x14ac:dyDescent="0.3">
      <c r="A9" s="11"/>
      <c r="B9" s="11"/>
      <c r="C9" s="11"/>
      <c r="D9" s="11"/>
    </row>
    <row r="10" spans="1:4" x14ac:dyDescent="0.3">
      <c r="A10" s="11"/>
      <c r="B10" s="11"/>
      <c r="C10" s="11"/>
      <c r="D10" s="11"/>
    </row>
    <row r="11" spans="1:4" x14ac:dyDescent="0.3">
      <c r="A11" s="11"/>
      <c r="B11" s="11"/>
      <c r="C11" s="11"/>
      <c r="D11" s="11"/>
    </row>
    <row r="12" spans="1:4" x14ac:dyDescent="0.3">
      <c r="A12" s="11"/>
      <c r="B12" s="11"/>
      <c r="C12" s="11"/>
      <c r="D12" s="11"/>
    </row>
    <row r="13" spans="1:4" x14ac:dyDescent="0.3">
      <c r="A13" s="11"/>
      <c r="B13" s="11"/>
      <c r="C13" s="11"/>
      <c r="D13" s="11"/>
    </row>
    <row r="14" spans="1:4" x14ac:dyDescent="0.3">
      <c r="A14" s="11"/>
      <c r="B14" s="11"/>
      <c r="C14" s="11"/>
      <c r="D14" s="11"/>
    </row>
    <row r="15" spans="1:4" x14ac:dyDescent="0.3">
      <c r="A15" s="11"/>
      <c r="B15" s="11"/>
      <c r="C15" s="11"/>
      <c r="D15" s="11"/>
    </row>
    <row r="16" spans="1:4" x14ac:dyDescent="0.3">
      <c r="A16" s="11"/>
      <c r="B16" s="11"/>
      <c r="C16" s="11"/>
      <c r="D16" s="11"/>
    </row>
    <row r="17" spans="1:4" x14ac:dyDescent="0.3">
      <c r="A17" s="11"/>
      <c r="B17" s="11"/>
      <c r="C17" s="11"/>
      <c r="D17" s="11"/>
    </row>
    <row r="18" spans="1:4" x14ac:dyDescent="0.3">
      <c r="A18" s="11"/>
      <c r="B18" s="11"/>
      <c r="C18" s="11"/>
      <c r="D18" s="11"/>
    </row>
    <row r="19" spans="1:4" x14ac:dyDescent="0.3">
      <c r="A19" s="11"/>
      <c r="B19" s="11"/>
      <c r="C19" s="11"/>
      <c r="D19" s="11"/>
    </row>
    <row r="20" spans="1:4" x14ac:dyDescent="0.3">
      <c r="A20" s="11"/>
      <c r="B20" s="11"/>
      <c r="C20" s="11"/>
      <c r="D20" s="11"/>
    </row>
    <row r="21" spans="1:4" x14ac:dyDescent="0.3">
      <c r="A21" s="11"/>
      <c r="B21" s="11"/>
      <c r="C21" s="11"/>
      <c r="D21" s="11"/>
    </row>
    <row r="22" spans="1:4" x14ac:dyDescent="0.3">
      <c r="A22" s="11"/>
      <c r="B22" s="11"/>
      <c r="C22" s="11"/>
      <c r="D22" s="11"/>
    </row>
    <row r="23" spans="1:4" x14ac:dyDescent="0.3">
      <c r="A23" s="100" t="s">
        <v>116</v>
      </c>
      <c r="B23" s="98"/>
      <c r="C23" s="98"/>
      <c r="D23" s="98"/>
    </row>
  </sheetData>
  <sheetProtection algorithmName="SHA-512" hashValue="flFVflb2ACeylwhSJ9qBBtPp8hX4SUyPWKMSqM6w7WA1nrWFTmvm5n3G74Qjrp1CpIMA9JOM3nflBYMD4bVZjg==" saltValue="ftUxyQMgxJ5CdFqTTYzzdQ==" spinCount="100000" sheet="1" objects="1" scenarios="1" selectLockedCells="1"/>
  <mergeCells count="4">
    <mergeCell ref="A4:D4"/>
    <mergeCell ref="A2:D2"/>
    <mergeCell ref="A23:D23"/>
    <mergeCell ref="A3:C3"/>
  </mergeCells>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F3D0B-CADC-47B8-B758-A9D19D2206C5}">
  <sheetPr>
    <pageSetUpPr autoPageBreaks="0"/>
  </sheetPr>
  <dimension ref="A1:N37"/>
  <sheetViews>
    <sheetView showGridLines="0" zoomScale="95" zoomScaleNormal="95" workbookViewId="0">
      <selection activeCell="P29" sqref="P29"/>
    </sheetView>
  </sheetViews>
  <sheetFormatPr defaultRowHeight="14.4" x14ac:dyDescent="0.3"/>
  <sheetData>
    <row r="1" spans="1:11" x14ac:dyDescent="0.3">
      <c r="A1" s="6"/>
      <c r="B1" s="6"/>
      <c r="C1" s="6"/>
      <c r="D1" s="6"/>
      <c r="E1" s="6"/>
      <c r="F1" s="6"/>
      <c r="G1" s="6"/>
      <c r="H1" s="6"/>
      <c r="I1" s="6"/>
      <c r="J1" s="6"/>
      <c r="K1" s="6"/>
    </row>
    <row r="2" spans="1:11" x14ac:dyDescent="0.3">
      <c r="A2" s="6"/>
      <c r="B2" s="107" t="s">
        <v>118</v>
      </c>
      <c r="C2" s="107"/>
      <c r="D2" s="107"/>
      <c r="E2" s="107"/>
      <c r="F2" s="107"/>
      <c r="G2" s="107"/>
      <c r="H2" s="107"/>
      <c r="I2" s="107"/>
      <c r="J2" s="107"/>
      <c r="K2" s="6"/>
    </row>
    <row r="3" spans="1:11" x14ac:dyDescent="0.3">
      <c r="A3" s="6"/>
      <c r="B3" s="107"/>
      <c r="C3" s="107"/>
      <c r="D3" s="107"/>
      <c r="E3" s="107"/>
      <c r="F3" s="107"/>
      <c r="G3" s="107"/>
      <c r="H3" s="107"/>
      <c r="I3" s="107"/>
      <c r="J3" s="107"/>
      <c r="K3" s="6"/>
    </row>
    <row r="4" spans="1:11" ht="15.6" x14ac:dyDescent="0.3">
      <c r="A4" s="6"/>
      <c r="B4" s="108" t="s">
        <v>117</v>
      </c>
      <c r="C4" s="108"/>
      <c r="D4" s="108"/>
      <c r="E4" s="108"/>
      <c r="F4" s="108"/>
      <c r="G4" s="108"/>
      <c r="H4" s="108"/>
      <c r="I4" s="108"/>
      <c r="J4" s="108"/>
      <c r="K4" s="6"/>
    </row>
    <row r="5" spans="1:11" x14ac:dyDescent="0.3">
      <c r="A5" s="6"/>
      <c r="B5" s="6"/>
      <c r="C5" s="6"/>
      <c r="D5" s="6"/>
      <c r="E5" s="6"/>
      <c r="F5" s="6"/>
      <c r="G5" s="6"/>
      <c r="H5" s="6"/>
      <c r="I5" s="6"/>
      <c r="J5" s="6"/>
      <c r="K5" s="6"/>
    </row>
    <row r="6" spans="1:11" x14ac:dyDescent="0.3">
      <c r="A6" s="6"/>
      <c r="B6" s="104" t="s">
        <v>119</v>
      </c>
      <c r="C6" s="104"/>
      <c r="D6" s="104"/>
      <c r="E6" s="6"/>
      <c r="F6" s="104" t="s">
        <v>120</v>
      </c>
      <c r="G6" s="104"/>
      <c r="H6" s="104"/>
      <c r="I6" s="6"/>
      <c r="J6" s="6"/>
      <c r="K6" s="6"/>
    </row>
    <row r="7" spans="1:11" x14ac:dyDescent="0.3">
      <c r="A7" s="6"/>
      <c r="B7" s="104"/>
      <c r="C7" s="104"/>
      <c r="D7" s="104"/>
      <c r="E7" s="6"/>
      <c r="F7" s="104"/>
      <c r="G7" s="104"/>
      <c r="H7" s="104"/>
      <c r="I7" s="6"/>
      <c r="J7" s="6"/>
      <c r="K7" s="6"/>
    </row>
    <row r="8" spans="1:11" x14ac:dyDescent="0.3">
      <c r="A8" s="6"/>
      <c r="B8" s="104"/>
      <c r="C8" s="104"/>
      <c r="D8" s="104"/>
      <c r="E8" s="6"/>
      <c r="F8" s="104"/>
      <c r="G8" s="104"/>
      <c r="H8" s="104"/>
      <c r="I8" s="6"/>
      <c r="J8" s="6"/>
      <c r="K8" s="6"/>
    </row>
    <row r="9" spans="1:11" ht="18" x14ac:dyDescent="0.3">
      <c r="A9" s="6"/>
      <c r="B9" s="6"/>
      <c r="C9" s="64" t="str">
        <f>Overall_Rating!B6</f>
        <v>OK</v>
      </c>
      <c r="D9" s="6"/>
      <c r="E9" s="6"/>
      <c r="F9" s="7"/>
      <c r="G9" s="65" t="str">
        <f>Overall_Rating!B9</f>
        <v>EXCEEDS LIMIT</v>
      </c>
      <c r="H9" s="7"/>
      <c r="I9" s="6"/>
      <c r="J9" s="6"/>
      <c r="K9" s="6"/>
    </row>
    <row r="10" spans="1:11" x14ac:dyDescent="0.3">
      <c r="A10" s="6"/>
      <c r="B10" s="109" t="s">
        <v>121</v>
      </c>
      <c r="C10" s="109"/>
      <c r="D10" s="109"/>
      <c r="E10" s="109"/>
      <c r="F10" s="109"/>
      <c r="G10" s="109"/>
      <c r="H10" s="109"/>
      <c r="I10" s="6"/>
      <c r="J10" s="6"/>
      <c r="K10" s="6"/>
    </row>
    <row r="11" spans="1:11" x14ac:dyDescent="0.3">
      <c r="A11" s="6"/>
      <c r="B11" s="109"/>
      <c r="C11" s="109"/>
      <c r="D11" s="109"/>
      <c r="E11" s="109"/>
      <c r="F11" s="109"/>
      <c r="G11" s="109"/>
      <c r="H11" s="109"/>
      <c r="I11" s="6"/>
      <c r="J11" s="6"/>
      <c r="K11" s="6"/>
    </row>
    <row r="12" spans="1:11" x14ac:dyDescent="0.3">
      <c r="A12" s="6"/>
      <c r="B12" s="109"/>
      <c r="C12" s="109"/>
      <c r="D12" s="109"/>
      <c r="E12" s="109"/>
      <c r="F12" s="109"/>
      <c r="G12" s="109"/>
      <c r="H12" s="109"/>
      <c r="I12" s="6"/>
      <c r="J12" s="6"/>
      <c r="K12" s="6"/>
    </row>
    <row r="13" spans="1:11" ht="14.4" customHeight="1" x14ac:dyDescent="0.3">
      <c r="A13" s="6"/>
      <c r="B13" s="103" t="s">
        <v>764</v>
      </c>
      <c r="C13" s="102" t="str">
        <f>IF(
 AND(Tube_DP!B4&lt;=Input_Form!G42, Shell_DP!B8&lt;=Shell_DP!B38),
 "",
 IF(
  AND(Tube_DP!B4&gt;Input_Form!G42, Shell_DP!B8&gt;Shell_DP!B38),
  "Tube-side and shell-side pressure drops exceed allowable limits",
  IF(
   Tube_DP!B4&gt;Input_Form!G42,
   "Tube-side pressure drop exceeds allowable limit",
   "Shell-side pressure drop exceeds allowable limit"
  )
 )
)</f>
        <v>Shell-side pressure drop exceeds allowable limit</v>
      </c>
      <c r="D13" s="102"/>
      <c r="E13" s="102"/>
      <c r="F13" s="102"/>
      <c r="G13" s="102"/>
      <c r="H13" s="102"/>
      <c r="I13" s="6"/>
      <c r="J13" s="6"/>
      <c r="K13" s="6"/>
    </row>
    <row r="14" spans="1:11" ht="14.4" customHeight="1" x14ac:dyDescent="0.3">
      <c r="A14" s="6"/>
      <c r="B14" s="103"/>
      <c r="C14" s="102"/>
      <c r="D14" s="102"/>
      <c r="E14" s="102"/>
      <c r="F14" s="102"/>
      <c r="G14" s="102"/>
      <c r="H14" s="102"/>
      <c r="I14" s="6"/>
      <c r="J14" s="6"/>
      <c r="K14" s="6"/>
    </row>
    <row r="15" spans="1:11" x14ac:dyDescent="0.3">
      <c r="A15" s="6"/>
      <c r="B15" s="6"/>
      <c r="C15" s="6"/>
      <c r="D15" s="6"/>
      <c r="E15" s="6"/>
      <c r="F15" s="6"/>
      <c r="G15" s="6"/>
      <c r="H15" s="6"/>
      <c r="I15" s="6"/>
      <c r="J15" s="6"/>
      <c r="K15" s="6"/>
    </row>
    <row r="16" spans="1:11" x14ac:dyDescent="0.3">
      <c r="A16" s="6"/>
      <c r="B16" s="104" t="s">
        <v>122</v>
      </c>
      <c r="C16" s="104"/>
      <c r="D16" s="104"/>
      <c r="E16" s="106">
        <f>Overall_Rating!B2</f>
        <v>61.374403356603608</v>
      </c>
      <c r="F16" s="106"/>
      <c r="G16" s="106"/>
      <c r="H16" s="104" t="s">
        <v>125</v>
      </c>
      <c r="I16" s="104"/>
      <c r="J16" s="104"/>
      <c r="K16" s="6"/>
    </row>
    <row r="17" spans="1:14" x14ac:dyDescent="0.3">
      <c r="A17" s="6"/>
      <c r="B17" s="104"/>
      <c r="C17" s="104"/>
      <c r="D17" s="104"/>
      <c r="E17" s="106"/>
      <c r="F17" s="106"/>
      <c r="G17" s="106"/>
      <c r="H17" s="104"/>
      <c r="I17" s="104"/>
      <c r="J17" s="104"/>
      <c r="K17" s="6"/>
    </row>
    <row r="18" spans="1:14" x14ac:dyDescent="0.3">
      <c r="A18" s="6"/>
      <c r="B18" s="6"/>
      <c r="C18" s="6"/>
      <c r="D18" s="6"/>
      <c r="E18" s="6"/>
      <c r="F18" s="6"/>
      <c r="G18" s="6"/>
      <c r="H18" s="105">
        <f>Tube_DP!B4/100000</f>
        <v>5.9160747916265338E-3</v>
      </c>
      <c r="I18" s="105"/>
      <c r="J18" s="105"/>
      <c r="K18" s="6"/>
    </row>
    <row r="19" spans="1:14" x14ac:dyDescent="0.3">
      <c r="A19" s="6"/>
      <c r="B19" s="104" t="s">
        <v>124</v>
      </c>
      <c r="C19" s="104"/>
      <c r="D19" s="104"/>
      <c r="E19" s="106">
        <f>Overall_Rating!B3</f>
        <v>79.030021359506236</v>
      </c>
      <c r="F19" s="106"/>
      <c r="G19" s="106"/>
      <c r="H19" s="105"/>
      <c r="I19" s="105"/>
      <c r="J19" s="105"/>
      <c r="K19" s="6"/>
    </row>
    <row r="20" spans="1:14" x14ac:dyDescent="0.3">
      <c r="A20" s="6"/>
      <c r="B20" s="104"/>
      <c r="C20" s="104"/>
      <c r="D20" s="104"/>
      <c r="E20" s="106"/>
      <c r="F20" s="106"/>
      <c r="G20" s="106"/>
      <c r="H20" s="110" t="str">
        <f>"Governing Allowable: "&amp;TEXT(Input_Form!G42/100000,"0.000")&amp;" bar"</f>
        <v>Governing Allowable: 0.100 bar</v>
      </c>
      <c r="I20" s="110"/>
      <c r="J20" s="110"/>
      <c r="K20" s="6"/>
    </row>
    <row r="21" spans="1:14" x14ac:dyDescent="0.3">
      <c r="A21" s="6"/>
      <c r="B21" s="6"/>
      <c r="C21" s="6"/>
      <c r="D21" s="6"/>
      <c r="E21" s="6"/>
      <c r="F21" s="6"/>
      <c r="G21" s="6"/>
      <c r="H21" s="6"/>
      <c r="I21" s="6"/>
      <c r="J21" s="6"/>
      <c r="K21" s="6"/>
    </row>
    <row r="22" spans="1:14" x14ac:dyDescent="0.3">
      <c r="A22" s="6"/>
      <c r="B22" s="104" t="s">
        <v>123</v>
      </c>
      <c r="C22" s="104"/>
      <c r="D22" s="104"/>
      <c r="E22" s="106">
        <f>Overall_Rating!B4</f>
        <v>250</v>
      </c>
      <c r="F22" s="106"/>
      <c r="G22" s="106"/>
      <c r="H22" s="104" t="s">
        <v>126</v>
      </c>
      <c r="I22" s="104"/>
      <c r="J22" s="104"/>
      <c r="K22" s="6"/>
    </row>
    <row r="23" spans="1:14" x14ac:dyDescent="0.3">
      <c r="A23" s="6"/>
      <c r="B23" s="104"/>
      <c r="C23" s="104"/>
      <c r="D23" s="104"/>
      <c r="E23" s="106"/>
      <c r="F23" s="106"/>
      <c r="G23" s="106"/>
      <c r="H23" s="104"/>
      <c r="I23" s="104"/>
      <c r="J23" s="104"/>
      <c r="K23" s="6"/>
    </row>
    <row r="24" spans="1:14" x14ac:dyDescent="0.3">
      <c r="A24" s="6"/>
      <c r="B24" s="6"/>
      <c r="C24" s="6"/>
      <c r="D24" s="6"/>
      <c r="E24" s="6"/>
      <c r="F24" s="6"/>
      <c r="G24" s="6"/>
      <c r="H24" s="115">
        <f>Shell_DP!B8/100000</f>
        <v>5.4374388149367014</v>
      </c>
      <c r="I24" s="115"/>
      <c r="J24" s="115"/>
      <c r="K24" s="6"/>
    </row>
    <row r="25" spans="1:14" x14ac:dyDescent="0.3">
      <c r="A25" s="6"/>
      <c r="B25" s="104" t="s">
        <v>352</v>
      </c>
      <c r="C25" s="104"/>
      <c r="D25" s="104"/>
      <c r="E25" s="113" t="str">
        <f>Energy_Check!C18</f>
        <v>✅ LMTD OK</v>
      </c>
      <c r="F25" s="113"/>
      <c r="G25" s="113"/>
      <c r="H25" s="115"/>
      <c r="I25" s="115"/>
      <c r="J25" s="115"/>
      <c r="K25" s="6"/>
    </row>
    <row r="26" spans="1:14" x14ac:dyDescent="0.3">
      <c r="A26" s="6"/>
      <c r="B26" s="104"/>
      <c r="C26" s="104"/>
      <c r="D26" s="104"/>
      <c r="E26" s="113"/>
      <c r="F26" s="113"/>
      <c r="G26" s="113"/>
      <c r="H26" s="110" t="str">
        <f>"Governing Allowable: "&amp;TEXT(Shell_DP!B39,"0.00")&amp;" bar"</f>
        <v>Governing Allowable: 1.00 bar</v>
      </c>
      <c r="I26" s="110"/>
      <c r="J26" s="110"/>
      <c r="K26" s="6"/>
    </row>
    <row r="27" spans="1:14" x14ac:dyDescent="0.3">
      <c r="A27" s="6"/>
      <c r="B27" s="6"/>
      <c r="C27" s="6"/>
      <c r="D27" s="6"/>
      <c r="E27" s="6"/>
      <c r="F27" s="6"/>
      <c r="G27" s="6"/>
      <c r="H27" s="6"/>
      <c r="I27" s="6"/>
      <c r="J27" s="6"/>
      <c r="K27" s="6"/>
    </row>
    <row r="28" spans="1:14" ht="15.6" x14ac:dyDescent="0.3">
      <c r="A28" s="6"/>
      <c r="B28" s="6"/>
      <c r="C28" s="6"/>
      <c r="D28" s="6"/>
      <c r="E28" s="6"/>
      <c r="F28" s="6"/>
      <c r="G28" s="6"/>
      <c r="H28" s="6"/>
      <c r="I28" s="6"/>
      <c r="J28" s="6"/>
      <c r="K28" s="6"/>
      <c r="N28" s="66"/>
    </row>
    <row r="29" spans="1:14" x14ac:dyDescent="0.3">
      <c r="A29" s="6"/>
      <c r="B29" s="6"/>
      <c r="C29" s="6"/>
      <c r="D29" s="6"/>
      <c r="E29" s="6"/>
      <c r="F29" s="6"/>
      <c r="G29" s="6"/>
      <c r="H29" s="6"/>
      <c r="I29" s="6"/>
      <c r="J29" s="114" t="s">
        <v>720</v>
      </c>
      <c r="K29" s="114"/>
      <c r="N29" s="62"/>
    </row>
    <row r="30" spans="1:14" x14ac:dyDescent="0.3">
      <c r="A30" s="6"/>
      <c r="B30" s="6"/>
      <c r="C30" s="6"/>
      <c r="D30" s="6"/>
      <c r="E30" s="6"/>
      <c r="F30" s="6"/>
      <c r="G30" s="6"/>
      <c r="H30" s="6"/>
      <c r="I30" s="6"/>
      <c r="J30" s="114"/>
      <c r="K30" s="114"/>
    </row>
    <row r="31" spans="1:14" ht="15.6" x14ac:dyDescent="0.3">
      <c r="A31" s="6"/>
      <c r="B31" s="6"/>
      <c r="C31" s="6"/>
      <c r="D31" s="6"/>
      <c r="E31" s="6"/>
      <c r="F31" s="6"/>
      <c r="G31" s="6"/>
      <c r="H31" s="6"/>
      <c r="I31" s="6"/>
      <c r="J31" s="114"/>
      <c r="K31" s="114"/>
      <c r="N31" s="66"/>
    </row>
    <row r="32" spans="1:14" x14ac:dyDescent="0.3">
      <c r="A32" s="6"/>
      <c r="B32" s="6"/>
      <c r="C32" s="6"/>
      <c r="D32" s="6"/>
      <c r="E32" s="6"/>
      <c r="F32" s="6"/>
      <c r="G32" s="6"/>
      <c r="H32" s="6"/>
      <c r="I32" s="6"/>
      <c r="J32" s="6"/>
      <c r="K32" s="6"/>
    </row>
    <row r="33" spans="1:11" x14ac:dyDescent="0.3">
      <c r="A33" s="6"/>
      <c r="B33" s="6"/>
      <c r="C33" s="6"/>
      <c r="D33" s="6"/>
      <c r="E33" s="6"/>
      <c r="F33" s="6"/>
      <c r="G33" s="6"/>
      <c r="H33" s="6"/>
      <c r="I33" s="6"/>
      <c r="J33" s="6"/>
      <c r="K33" s="6"/>
    </row>
    <row r="34" spans="1:11" x14ac:dyDescent="0.3">
      <c r="A34" s="6"/>
      <c r="B34" s="6"/>
      <c r="C34" s="6"/>
      <c r="D34" s="6"/>
      <c r="E34" s="6"/>
      <c r="F34" s="6"/>
      <c r="G34" s="6"/>
      <c r="H34" s="6"/>
      <c r="I34" s="6"/>
      <c r="J34" s="6"/>
      <c r="K34" s="6"/>
    </row>
    <row r="35" spans="1:11" x14ac:dyDescent="0.3">
      <c r="A35" s="6"/>
      <c r="B35" s="6"/>
      <c r="C35" s="6"/>
      <c r="D35" s="6"/>
      <c r="E35" s="6"/>
      <c r="F35" s="6"/>
      <c r="G35" s="6"/>
      <c r="H35" s="6"/>
      <c r="I35" s="6"/>
      <c r="J35" s="6"/>
      <c r="K35" s="6"/>
    </row>
    <row r="36" spans="1:11" x14ac:dyDescent="0.3">
      <c r="A36" s="111" t="s">
        <v>766</v>
      </c>
      <c r="B36" s="112"/>
      <c r="C36" s="112"/>
      <c r="D36" s="112"/>
      <c r="E36" s="112"/>
      <c r="F36" s="112"/>
      <c r="G36" s="112"/>
      <c r="H36" s="112"/>
      <c r="I36" s="112"/>
      <c r="J36" s="112"/>
      <c r="K36" s="112"/>
    </row>
    <row r="37" spans="1:11" x14ac:dyDescent="0.3">
      <c r="A37" s="112"/>
      <c r="B37" s="112"/>
      <c r="C37" s="112"/>
      <c r="D37" s="112"/>
      <c r="E37" s="112"/>
      <c r="F37" s="112"/>
      <c r="G37" s="112"/>
      <c r="H37" s="112"/>
      <c r="I37" s="112"/>
      <c r="J37" s="112"/>
      <c r="K37" s="112"/>
    </row>
  </sheetData>
  <sheetProtection algorithmName="SHA-512" hashValue="f98/vIJ8yyTsMwXtW9HhRzu3QEhcOfe/Od40bCmmZ/409lseEYUBAXbkfL27Ou7vybskLBBDL64ijxfnuSVEJA==" saltValue="ZUpOqsvw4vE/zApGLHyJRA==" spinCount="100000" sheet="1" objects="1" scenarios="1" selectLockedCells="1"/>
  <mergeCells count="23">
    <mergeCell ref="H26:J26"/>
    <mergeCell ref="H20:J20"/>
    <mergeCell ref="A36:K37"/>
    <mergeCell ref="E22:G23"/>
    <mergeCell ref="B25:D26"/>
    <mergeCell ref="E25:G26"/>
    <mergeCell ref="J29:K31"/>
    <mergeCell ref="H22:J23"/>
    <mergeCell ref="H24:J25"/>
    <mergeCell ref="B19:D20"/>
    <mergeCell ref="E19:G20"/>
    <mergeCell ref="B22:D23"/>
    <mergeCell ref="B2:J3"/>
    <mergeCell ref="B4:J4"/>
    <mergeCell ref="B6:D8"/>
    <mergeCell ref="F6:H8"/>
    <mergeCell ref="B10:H12"/>
    <mergeCell ref="C13:H14"/>
    <mergeCell ref="B13:B14"/>
    <mergeCell ref="H16:J17"/>
    <mergeCell ref="H18:J19"/>
    <mergeCell ref="B16:D17"/>
    <mergeCell ref="E16:G17"/>
  </mergeCells>
  <conditionalFormatting sqref="C9">
    <cfRule type="cellIs" dxfId="50" priority="1" operator="equal">
      <formula>"Insufficient Area"</formula>
    </cfRule>
    <cfRule type="cellIs" dxfId="49" priority="2" operator="equal">
      <formula>"Marginal Area"</formula>
    </cfRule>
    <cfRule type="cellIs" dxfId="48" priority="3" operator="equal">
      <formula>"OK"</formula>
    </cfRule>
    <cfRule type="cellIs" dxfId="47" priority="14" operator="equal">
      <formula>"FAIL"</formula>
    </cfRule>
    <cfRule type="cellIs" dxfId="46" priority="15" operator="equal">
      <formula>"PASS"</formula>
    </cfRule>
  </conditionalFormatting>
  <conditionalFormatting sqref="C13">
    <cfRule type="cellIs" dxfId="45" priority="7" operator="equal">
      <formula>"REVIEW REQUIRED"</formula>
    </cfRule>
    <cfRule type="cellIs" dxfId="44" priority="8" operator="equal">
      <formula>"ACCEPTABLE"</formula>
    </cfRule>
  </conditionalFormatting>
  <conditionalFormatting sqref="E25:G26">
    <cfRule type="cellIs" dxfId="43" priority="4" operator="equal">
      <formula>"❌ Invalid ΔT"</formula>
    </cfRule>
    <cfRule type="cellIs" dxfId="42" priority="5" operator="equal">
      <formula>"⚠ ΔT nearly equal"</formula>
    </cfRule>
    <cfRule type="cellIs" dxfId="41" priority="6" operator="equal">
      <formula>"✅ LMTD OK"</formula>
    </cfRule>
  </conditionalFormatting>
  <conditionalFormatting sqref="G9">
    <cfRule type="cellIs" dxfId="40" priority="12" operator="equal">
      <formula>"EXCEEDS LIMIT"</formula>
    </cfRule>
    <cfRule type="cellIs" dxfId="39" priority="13" operator="equal">
      <formula>"OK"</formula>
    </cfRule>
  </conditionalFormatting>
  <hyperlinks>
    <hyperlink ref="J29:K31" location="Legal_Disclaimer!A1" display="Disclaimer" xr:uid="{05D8BEC3-8EE4-41DB-AB43-AFB75A9DE60F}"/>
  </hyperlinks>
  <pageMargins left="0.70866141732283472" right="0.70866141732283472" top="0.74803149606299213" bottom="0.74803149606299213" header="0.31496062992125984" footer="0.31496062992125984"/>
  <pageSetup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9B536-EEB1-478E-81AF-2E818ABB21A4}">
  <dimension ref="A1:K52"/>
  <sheetViews>
    <sheetView showGridLines="0" tabSelected="1" zoomScale="72" zoomScaleNormal="72" workbookViewId="0">
      <selection activeCell="C8" sqref="C8"/>
    </sheetView>
  </sheetViews>
  <sheetFormatPr defaultRowHeight="14.4" x14ac:dyDescent="0.3"/>
  <cols>
    <col min="2" max="2" width="26" customWidth="1"/>
    <col min="6" max="6" width="23.5546875" customWidth="1"/>
  </cols>
  <sheetData>
    <row r="1" spans="1:11" x14ac:dyDescent="0.3">
      <c r="A1" s="8"/>
      <c r="B1" s="8"/>
      <c r="C1" s="8"/>
      <c r="D1" s="8"/>
      <c r="E1" s="8"/>
      <c r="F1" s="8"/>
      <c r="G1" s="8"/>
      <c r="H1" s="8"/>
      <c r="I1" s="8"/>
      <c r="J1" s="8"/>
      <c r="K1" s="8"/>
    </row>
    <row r="2" spans="1:11" x14ac:dyDescent="0.3">
      <c r="A2" s="8"/>
      <c r="B2" s="116" t="s">
        <v>127</v>
      </c>
      <c r="C2" s="116"/>
      <c r="D2" s="116"/>
      <c r="E2" s="116"/>
      <c r="F2" s="116"/>
      <c r="G2" s="116"/>
      <c r="H2" s="116"/>
      <c r="I2" s="116"/>
      <c r="J2" s="116"/>
      <c r="K2" s="8"/>
    </row>
    <row r="3" spans="1:11" x14ac:dyDescent="0.3">
      <c r="A3" s="8"/>
      <c r="B3" s="116"/>
      <c r="C3" s="116"/>
      <c r="D3" s="116"/>
      <c r="E3" s="116"/>
      <c r="F3" s="116"/>
      <c r="G3" s="116"/>
      <c r="H3" s="116"/>
      <c r="I3" s="116"/>
      <c r="J3" s="116"/>
      <c r="K3" s="8"/>
    </row>
    <row r="4" spans="1:11" x14ac:dyDescent="0.3">
      <c r="A4" s="8"/>
      <c r="B4" s="117" t="s">
        <v>128</v>
      </c>
      <c r="C4" s="117"/>
      <c r="D4" s="117"/>
      <c r="E4" s="117"/>
      <c r="F4" s="117"/>
      <c r="G4" s="117"/>
      <c r="H4" s="117"/>
      <c r="I4" s="117"/>
      <c r="J4" s="117"/>
      <c r="K4" s="8"/>
    </row>
    <row r="5" spans="1:11" x14ac:dyDescent="0.3">
      <c r="A5" s="8"/>
      <c r="B5" s="9"/>
      <c r="C5" s="9"/>
      <c r="D5" s="9"/>
      <c r="E5" s="9"/>
      <c r="F5" s="9"/>
      <c r="G5" s="9"/>
      <c r="H5" s="26"/>
      <c r="I5" s="26"/>
      <c r="J5" s="26"/>
      <c r="K5" s="8"/>
    </row>
    <row r="6" spans="1:11" ht="15.6" x14ac:dyDescent="0.3">
      <c r="A6" s="8"/>
      <c r="B6" s="118" t="s">
        <v>129</v>
      </c>
      <c r="C6" s="119"/>
      <c r="D6" s="119"/>
      <c r="E6" s="119"/>
      <c r="F6" s="119"/>
      <c r="G6" s="119"/>
      <c r="H6" s="119"/>
      <c r="I6" s="119"/>
      <c r="J6" s="119"/>
      <c r="K6" s="8"/>
    </row>
    <row r="7" spans="1:11" x14ac:dyDescent="0.3">
      <c r="A7" s="8"/>
      <c r="B7" s="10"/>
      <c r="C7" s="10"/>
      <c r="D7" s="10"/>
      <c r="E7" s="10"/>
      <c r="F7" s="10"/>
      <c r="G7" s="10"/>
      <c r="H7" s="10"/>
      <c r="I7" s="10"/>
      <c r="J7" s="10"/>
      <c r="K7" s="8"/>
    </row>
    <row r="8" spans="1:11" x14ac:dyDescent="0.3">
      <c r="A8" s="8"/>
      <c r="B8" s="12" t="s">
        <v>240</v>
      </c>
      <c r="C8" s="90" t="s">
        <v>229</v>
      </c>
      <c r="D8" s="13"/>
      <c r="E8" s="10"/>
      <c r="F8" s="10"/>
      <c r="G8" s="10"/>
      <c r="H8" s="10"/>
      <c r="I8" s="10"/>
      <c r="J8" s="10"/>
      <c r="K8" s="8"/>
    </row>
    <row r="9" spans="1:11" x14ac:dyDescent="0.3">
      <c r="A9" s="8"/>
      <c r="B9" s="12" t="s">
        <v>132</v>
      </c>
      <c r="C9" s="90">
        <v>0.75</v>
      </c>
      <c r="D9" s="92" t="s">
        <v>161</v>
      </c>
      <c r="E9" s="72">
        <f>C9*VLOOKUP(D9,Unit_Control!A4:B7,2,FALSE)</f>
        <v>1.9049999999999997E-2</v>
      </c>
      <c r="F9" s="12" t="s">
        <v>14</v>
      </c>
      <c r="G9" s="90">
        <v>20000</v>
      </c>
      <c r="H9" s="92" t="s">
        <v>16</v>
      </c>
      <c r="I9" s="71">
        <f>G9*VLOOKUP(H9,Unit_Control!G4:H7,2,FALSE)</f>
        <v>5.5555555555555554</v>
      </c>
      <c r="J9" s="10"/>
      <c r="K9" s="8"/>
    </row>
    <row r="10" spans="1:11" x14ac:dyDescent="0.3">
      <c r="A10" s="8"/>
      <c r="B10" s="12" t="s">
        <v>133</v>
      </c>
      <c r="C10" s="90">
        <v>5</v>
      </c>
      <c r="D10" s="92" t="s">
        <v>6</v>
      </c>
      <c r="E10" s="72">
        <f>C10*VLOOKUP(D10,Unit_Control!A4:B7,2,FALSE)</f>
        <v>5</v>
      </c>
      <c r="F10" s="12" t="s">
        <v>17</v>
      </c>
      <c r="G10" s="91">
        <f>VLOOKUP(C8,Chemical_Properties!A:E,2,FALSE)</f>
        <v>1035</v>
      </c>
      <c r="H10" s="82" t="s">
        <v>179</v>
      </c>
      <c r="I10" s="72">
        <f>G10*VLOOKUP(H10,Unit_Control!P4:Q6,2,FALSE)</f>
        <v>1035</v>
      </c>
      <c r="J10" s="10"/>
      <c r="K10" s="8"/>
    </row>
    <row r="11" spans="1:11" x14ac:dyDescent="0.3">
      <c r="A11" s="8"/>
      <c r="B11" s="12" t="s">
        <v>9</v>
      </c>
      <c r="C11" s="90">
        <v>100</v>
      </c>
      <c r="D11" s="82" t="s">
        <v>134</v>
      </c>
      <c r="E11" s="10"/>
      <c r="F11" s="12" t="s">
        <v>20</v>
      </c>
      <c r="G11" s="91">
        <f>VLOOKUP(C8,Chemical_Properties!A:E,3,FALSE)</f>
        <v>4.2000000000000003E-2</v>
      </c>
      <c r="H11" s="82" t="s">
        <v>176</v>
      </c>
      <c r="I11" s="72">
        <f>G11*VLOOKUP(H11,Unit_Control!M4:N5,2,FALSE)</f>
        <v>4.2000000000000003E-2</v>
      </c>
      <c r="J11" s="10"/>
      <c r="K11" s="8"/>
    </row>
    <row r="12" spans="1:11" x14ac:dyDescent="0.3">
      <c r="A12" s="8"/>
      <c r="B12" s="12" t="s">
        <v>135</v>
      </c>
      <c r="C12" s="90">
        <v>2</v>
      </c>
      <c r="D12" s="82" t="s">
        <v>134</v>
      </c>
      <c r="E12" s="10"/>
      <c r="F12" s="12" t="s">
        <v>23</v>
      </c>
      <c r="G12" s="91">
        <f>VLOOKUP(C8,Chemical_Properties!A:E,4,FALSE)</f>
        <v>2400</v>
      </c>
      <c r="H12" s="82" t="s">
        <v>185</v>
      </c>
      <c r="I12" s="72">
        <f>G12*VLOOKUP(H12,Unit_Control!S4:T8,2,FALSE)</f>
        <v>2400</v>
      </c>
      <c r="J12" s="10"/>
      <c r="K12" s="8"/>
    </row>
    <row r="13" spans="1:11" ht="28.8" x14ac:dyDescent="0.3">
      <c r="A13" s="8"/>
      <c r="B13" s="88" t="s">
        <v>892</v>
      </c>
      <c r="C13" s="90">
        <v>250</v>
      </c>
      <c r="D13" s="82" t="s">
        <v>170</v>
      </c>
      <c r="E13" s="72">
        <f>C13*VLOOKUP(D13,Unit_Control!J4:K5,2,FALSE)</f>
        <v>250</v>
      </c>
      <c r="F13" s="12" t="s">
        <v>26</v>
      </c>
      <c r="G13" s="91">
        <f>VLOOKUP(C8,Chemical_Properties!A:E,5,FALSE)</f>
        <v>0.21</v>
      </c>
      <c r="H13" s="82" t="s">
        <v>191</v>
      </c>
      <c r="I13" s="72">
        <f>G13*VLOOKUP(H13,Unit_Control!V4:W8,2,FALSE)</f>
        <v>0.21</v>
      </c>
      <c r="J13" s="10"/>
      <c r="K13" s="8"/>
    </row>
    <row r="14" spans="1:11" x14ac:dyDescent="0.3">
      <c r="A14" s="8"/>
      <c r="B14" s="12"/>
      <c r="C14" s="10"/>
      <c r="D14" s="12"/>
      <c r="E14" s="10"/>
      <c r="F14" s="10"/>
      <c r="G14" s="10"/>
      <c r="H14" s="14"/>
      <c r="I14" s="10"/>
      <c r="J14" s="10"/>
      <c r="K14" s="8"/>
    </row>
    <row r="15" spans="1:11" x14ac:dyDescent="0.3">
      <c r="A15" s="8"/>
      <c r="B15" s="12" t="s">
        <v>323</v>
      </c>
      <c r="C15" s="94" t="s">
        <v>324</v>
      </c>
      <c r="D15" s="12"/>
      <c r="E15" s="10"/>
      <c r="F15" s="10"/>
      <c r="G15" s="10"/>
      <c r="H15" s="10"/>
      <c r="I15" s="10"/>
      <c r="J15" s="10"/>
      <c r="K15" s="8"/>
    </row>
    <row r="16" spans="1:11" x14ac:dyDescent="0.3">
      <c r="A16" s="8"/>
      <c r="B16" s="10"/>
      <c r="C16" s="86">
        <f>IF(C15="Yes",1,0)</f>
        <v>1</v>
      </c>
      <c r="D16" s="10"/>
      <c r="E16" s="10"/>
      <c r="F16" s="10"/>
      <c r="G16" s="10"/>
      <c r="H16" s="10"/>
      <c r="I16" s="10"/>
      <c r="J16" s="10"/>
      <c r="K16" s="8"/>
    </row>
    <row r="17" spans="1:11" ht="15.6" x14ac:dyDescent="0.3">
      <c r="A17" s="8"/>
      <c r="B17" s="118" t="s">
        <v>130</v>
      </c>
      <c r="C17" s="118"/>
      <c r="D17" s="118"/>
      <c r="E17" s="118"/>
      <c r="F17" s="118"/>
      <c r="G17" s="118"/>
      <c r="H17" s="118"/>
      <c r="I17" s="118"/>
      <c r="J17" s="118"/>
      <c r="K17" s="8"/>
    </row>
    <row r="18" spans="1:11" x14ac:dyDescent="0.3">
      <c r="A18" s="8"/>
      <c r="B18" s="10"/>
      <c r="C18" s="10"/>
      <c r="D18" s="10"/>
      <c r="E18" s="10"/>
      <c r="F18" s="10"/>
      <c r="G18" s="10"/>
      <c r="H18" s="10"/>
      <c r="I18" s="10"/>
      <c r="J18" s="10"/>
      <c r="K18" s="8"/>
    </row>
    <row r="19" spans="1:11" x14ac:dyDescent="0.3">
      <c r="A19" s="8"/>
      <c r="B19" s="12" t="s">
        <v>240</v>
      </c>
      <c r="C19" s="90" t="s">
        <v>215</v>
      </c>
      <c r="D19" s="13"/>
      <c r="E19" s="10"/>
      <c r="F19" s="10"/>
      <c r="G19" s="10"/>
      <c r="H19" s="10"/>
      <c r="I19" s="10"/>
      <c r="J19" s="10"/>
      <c r="K19" s="8"/>
    </row>
    <row r="20" spans="1:11" x14ac:dyDescent="0.3">
      <c r="A20" s="8"/>
      <c r="B20" s="12" t="s">
        <v>44</v>
      </c>
      <c r="C20" s="90">
        <v>600</v>
      </c>
      <c r="D20" s="93" t="s">
        <v>160</v>
      </c>
      <c r="E20" s="72">
        <f>C20*VLOOKUP(D20,Unit_Control!A4:B7,2,FALSE)</f>
        <v>0.6</v>
      </c>
      <c r="F20" s="12" t="s">
        <v>52</v>
      </c>
      <c r="G20" s="90">
        <v>20000</v>
      </c>
      <c r="H20" s="93" t="s">
        <v>16</v>
      </c>
      <c r="I20" s="72">
        <f>G20*VLOOKUP(H20,Unit_Control!G4:H7,2,FALSE)</f>
        <v>5.5555555555555554</v>
      </c>
      <c r="J20" s="10"/>
      <c r="K20" s="8"/>
    </row>
    <row r="21" spans="1:11" x14ac:dyDescent="0.3">
      <c r="A21" s="8"/>
      <c r="B21" s="12" t="s">
        <v>46</v>
      </c>
      <c r="C21" s="90">
        <v>25</v>
      </c>
      <c r="D21" s="93" t="s">
        <v>160</v>
      </c>
      <c r="E21" s="72">
        <f>C21*VLOOKUP(D21,Unit_Control!A4:B7,2,FALSE)</f>
        <v>2.5000000000000001E-2</v>
      </c>
      <c r="F21" s="12" t="s">
        <v>17</v>
      </c>
      <c r="G21" s="91">
        <f>VLOOKUP(C19,Chemical_Properties!A:E,2,FALSE)</f>
        <v>998</v>
      </c>
      <c r="H21" s="13" t="s">
        <v>179</v>
      </c>
      <c r="I21" s="72">
        <f>G21*VLOOKUP(H21,Unit_Control!P4:Q6,2,FALSE)</f>
        <v>998</v>
      </c>
      <c r="J21" s="10"/>
      <c r="K21" s="8"/>
    </row>
    <row r="22" spans="1:11" x14ac:dyDescent="0.3">
      <c r="A22" s="8"/>
      <c r="B22" s="12" t="s">
        <v>48</v>
      </c>
      <c r="C22" s="90">
        <v>32</v>
      </c>
      <c r="D22" s="93" t="s">
        <v>160</v>
      </c>
      <c r="E22" s="72">
        <f>C22*VLOOKUP(D22,Unit_Control!A4:B7,2,FALSE)</f>
        <v>3.2000000000000001E-2</v>
      </c>
      <c r="F22" s="12" t="s">
        <v>20</v>
      </c>
      <c r="G22" s="91">
        <f>VLOOKUP(C19,Chemical_Properties!A:E,3,FALSE)</f>
        <v>1E-3</v>
      </c>
      <c r="H22" s="13" t="s">
        <v>176</v>
      </c>
      <c r="I22" s="72">
        <f>G22*VLOOKUP(H22,Unit_Control!M4:N5,2,FALSE)</f>
        <v>1E-3</v>
      </c>
      <c r="J22" s="10"/>
      <c r="K22" s="8"/>
    </row>
    <row r="23" spans="1:11" x14ac:dyDescent="0.3">
      <c r="A23" s="8"/>
      <c r="B23" s="12" t="s">
        <v>50</v>
      </c>
      <c r="C23" s="90">
        <v>350</v>
      </c>
      <c r="D23" s="93" t="s">
        <v>160</v>
      </c>
      <c r="E23" s="72">
        <f>C23*VLOOKUP(D23,Unit_Control!A4:B7,2,FALSE)</f>
        <v>0.35000000000000003</v>
      </c>
      <c r="F23" s="12" t="s">
        <v>23</v>
      </c>
      <c r="G23" s="91">
        <f>VLOOKUP(C19,Chemical_Properties!A:E,4,FALSE)</f>
        <v>4180</v>
      </c>
      <c r="H23" s="13" t="s">
        <v>185</v>
      </c>
      <c r="I23" s="72">
        <f>G23*VLOOKUP(H23,Unit_Control!S4:T8,2,FALSE)</f>
        <v>4180</v>
      </c>
      <c r="J23" s="10"/>
      <c r="K23" s="8"/>
    </row>
    <row r="24" spans="1:11" x14ac:dyDescent="0.3">
      <c r="A24" s="8"/>
      <c r="B24" s="12" t="s">
        <v>405</v>
      </c>
      <c r="C24" s="90" t="s">
        <v>406</v>
      </c>
      <c r="D24" s="93"/>
      <c r="E24" s="10"/>
      <c r="F24" s="12" t="s">
        <v>26</v>
      </c>
      <c r="G24" s="91">
        <f>VLOOKUP(C19,Chemical_Properties!A:E,5,FALSE)</f>
        <v>0.6</v>
      </c>
      <c r="H24" s="13" t="s">
        <v>191</v>
      </c>
      <c r="I24" s="72">
        <f>G24*VLOOKUP(H24,Unit_Control!V4:W8,2,FALSE)</f>
        <v>0.6</v>
      </c>
      <c r="J24" s="10"/>
      <c r="K24" s="8"/>
    </row>
    <row r="25" spans="1:11" x14ac:dyDescent="0.3">
      <c r="A25" s="8"/>
      <c r="B25" s="12" t="s">
        <v>407</v>
      </c>
      <c r="C25" s="91" t="str">
        <f>IF(C24="Triangular","30° / 60°","90°")</f>
        <v>30° / 60°</v>
      </c>
      <c r="D25" s="93"/>
      <c r="E25" s="10"/>
      <c r="F25" s="10"/>
      <c r="G25" s="10"/>
      <c r="H25" s="10"/>
      <c r="I25" s="10"/>
      <c r="J25" s="10"/>
      <c r="K25" s="8"/>
    </row>
    <row r="26" spans="1:11" x14ac:dyDescent="0.3">
      <c r="A26" s="8"/>
      <c r="B26" s="12" t="s">
        <v>439</v>
      </c>
      <c r="C26" s="90">
        <v>30</v>
      </c>
      <c r="D26" s="13" t="s">
        <v>151</v>
      </c>
      <c r="E26" s="10"/>
      <c r="F26" s="10"/>
      <c r="G26" s="10"/>
      <c r="H26" s="10"/>
      <c r="I26" s="10"/>
      <c r="J26" s="10"/>
      <c r="K26" s="8"/>
    </row>
    <row r="27" spans="1:11" x14ac:dyDescent="0.3">
      <c r="A27" s="8"/>
      <c r="B27" s="12" t="s">
        <v>499</v>
      </c>
      <c r="C27" s="90">
        <v>3</v>
      </c>
      <c r="D27" s="13" t="s">
        <v>160</v>
      </c>
      <c r="E27" s="10"/>
      <c r="F27" s="12" t="s">
        <v>588</v>
      </c>
      <c r="G27" s="90">
        <v>350</v>
      </c>
      <c r="H27" s="13" t="s">
        <v>160</v>
      </c>
      <c r="I27" s="12"/>
      <c r="J27" s="10"/>
      <c r="K27" s="8"/>
    </row>
    <row r="28" spans="1:11" x14ac:dyDescent="0.3">
      <c r="A28" s="8"/>
      <c r="B28" s="12" t="s">
        <v>500</v>
      </c>
      <c r="C28" s="90">
        <v>0.4</v>
      </c>
      <c r="D28" s="13" t="s">
        <v>160</v>
      </c>
      <c r="E28" s="10"/>
      <c r="F28" s="12" t="s">
        <v>589</v>
      </c>
      <c r="G28" s="90">
        <v>350</v>
      </c>
      <c r="H28" s="13" t="s">
        <v>160</v>
      </c>
      <c r="I28" s="12"/>
      <c r="J28" s="10"/>
      <c r="K28" s="8"/>
    </row>
    <row r="29" spans="1:11" x14ac:dyDescent="0.3">
      <c r="A29" s="8"/>
      <c r="B29" s="12" t="s">
        <v>411</v>
      </c>
      <c r="C29" s="43">
        <f>IF(AND(C21&lt;&gt;"",C22&lt;&gt;""), C22/C21, "")</f>
        <v>1.28</v>
      </c>
      <c r="D29" s="13" t="str">
        <f>IF(C29="","",
IF(OR(C29&lt;1.1, C29&gt;2),
"⚠ Pt/Do outside normal TEMA range",
"✅ Pt/Do OK"))</f>
        <v>✅ Pt/Do OK</v>
      </c>
      <c r="E29" s="10"/>
      <c r="F29" s="10"/>
      <c r="G29" s="10"/>
      <c r="H29" s="10"/>
      <c r="I29" s="10"/>
      <c r="J29" s="10"/>
      <c r="K29" s="8"/>
    </row>
    <row r="30" spans="1:11" x14ac:dyDescent="0.3">
      <c r="A30" s="8"/>
      <c r="B30" s="12" t="s">
        <v>560</v>
      </c>
      <c r="C30" s="90"/>
      <c r="D30" s="13" t="s">
        <v>160</v>
      </c>
      <c r="E30" s="51"/>
      <c r="F30" s="10"/>
      <c r="G30" s="10"/>
      <c r="H30" s="10"/>
      <c r="I30" s="10"/>
      <c r="J30" s="10"/>
      <c r="K30" s="8"/>
    </row>
    <row r="31" spans="1:11" x14ac:dyDescent="0.3">
      <c r="A31" s="8"/>
      <c r="B31" s="10"/>
      <c r="C31" s="83" t="str">
        <f>IF(Input_Form!C30="",
 "Tube Bundle OD is estimated from tube count and tube pitch if OD is not provided.",
 "")</f>
        <v>Tube Bundle OD is estimated from tube count and tube pitch if OD is not provided.</v>
      </c>
      <c r="D31" s="10"/>
      <c r="E31" s="10"/>
      <c r="F31" s="10"/>
      <c r="G31" s="10"/>
      <c r="H31" s="10"/>
      <c r="I31" s="10"/>
      <c r="J31" s="10"/>
      <c r="K31" s="8"/>
    </row>
    <row r="32" spans="1:11" ht="15.6" x14ac:dyDescent="0.3">
      <c r="A32" s="8"/>
      <c r="B32" s="118" t="s">
        <v>325</v>
      </c>
      <c r="C32" s="118"/>
      <c r="D32" s="118"/>
      <c r="E32" s="118"/>
      <c r="F32" s="118"/>
      <c r="G32" s="118"/>
      <c r="H32" s="118"/>
      <c r="I32" s="118"/>
      <c r="J32" s="118"/>
      <c r="K32" s="8"/>
    </row>
    <row r="33" spans="1:11" x14ac:dyDescent="0.3">
      <c r="A33" s="8"/>
      <c r="B33" s="10"/>
      <c r="C33" s="10"/>
      <c r="D33" s="10"/>
      <c r="E33" s="10"/>
      <c r="F33" s="10"/>
      <c r="G33" s="10"/>
      <c r="H33" s="10"/>
      <c r="I33" s="10"/>
      <c r="J33" s="10"/>
      <c r="K33" s="8"/>
    </row>
    <row r="34" spans="1:11" x14ac:dyDescent="0.3">
      <c r="A34" s="8"/>
      <c r="B34" s="12" t="s">
        <v>326</v>
      </c>
      <c r="C34" s="90">
        <v>90</v>
      </c>
      <c r="D34" s="13" t="s">
        <v>330</v>
      </c>
      <c r="E34" s="12"/>
      <c r="F34" s="10"/>
      <c r="G34" s="10"/>
      <c r="H34" s="10"/>
      <c r="I34" s="10"/>
      <c r="J34" s="10"/>
      <c r="K34" s="8"/>
    </row>
    <row r="35" spans="1:11" x14ac:dyDescent="0.3">
      <c r="A35" s="8"/>
      <c r="B35" s="12" t="s">
        <v>327</v>
      </c>
      <c r="C35" s="90">
        <v>70</v>
      </c>
      <c r="D35" s="13" t="s">
        <v>330</v>
      </c>
      <c r="E35" s="12"/>
      <c r="F35" s="10"/>
      <c r="G35" s="10"/>
      <c r="H35" s="10"/>
      <c r="I35" s="10"/>
      <c r="J35" s="10"/>
      <c r="K35" s="8"/>
    </row>
    <row r="36" spans="1:11" x14ac:dyDescent="0.3">
      <c r="A36" s="8"/>
      <c r="B36" s="12" t="s">
        <v>328</v>
      </c>
      <c r="C36" s="90">
        <v>85</v>
      </c>
      <c r="D36" s="13" t="s">
        <v>330</v>
      </c>
      <c r="E36" s="12"/>
      <c r="F36" s="10"/>
      <c r="G36" s="10"/>
      <c r="H36" s="10"/>
      <c r="I36" s="10"/>
      <c r="J36" s="10"/>
      <c r="K36" s="8"/>
    </row>
    <row r="37" spans="1:11" x14ac:dyDescent="0.3">
      <c r="A37" s="8"/>
      <c r="B37" s="12" t="s">
        <v>329</v>
      </c>
      <c r="C37" s="90">
        <v>75</v>
      </c>
      <c r="D37" s="13" t="s">
        <v>330</v>
      </c>
      <c r="E37" s="12"/>
      <c r="F37" s="10"/>
      <c r="G37" s="10"/>
      <c r="H37" s="10"/>
      <c r="I37" s="10"/>
      <c r="J37" s="10"/>
      <c r="K37" s="8"/>
    </row>
    <row r="38" spans="1:11" x14ac:dyDescent="0.3">
      <c r="A38" s="8"/>
      <c r="B38" s="10"/>
      <c r="C38" s="10"/>
      <c r="D38" s="10"/>
      <c r="E38" s="10"/>
      <c r="F38" s="10"/>
      <c r="G38" s="10"/>
      <c r="H38" s="10"/>
      <c r="I38" s="10"/>
      <c r="J38" s="10"/>
      <c r="K38" s="8"/>
    </row>
    <row r="39" spans="1:11" x14ac:dyDescent="0.3">
      <c r="A39" s="8"/>
      <c r="B39" s="11"/>
      <c r="C39" s="11"/>
      <c r="D39" s="11"/>
      <c r="E39" s="11"/>
      <c r="F39" s="11"/>
      <c r="G39" s="11"/>
      <c r="H39" s="11"/>
      <c r="I39" s="11"/>
      <c r="J39" s="11"/>
      <c r="K39" s="8"/>
    </row>
    <row r="40" spans="1:11" ht="15.6" x14ac:dyDescent="0.3">
      <c r="A40" s="8"/>
      <c r="B40" s="118" t="s">
        <v>131</v>
      </c>
      <c r="C40" s="118"/>
      <c r="D40" s="118"/>
      <c r="E40" s="118"/>
      <c r="F40" s="118"/>
      <c r="G40" s="118"/>
      <c r="H40" s="118"/>
      <c r="I40" s="118"/>
      <c r="J40" s="118"/>
      <c r="K40" s="8"/>
    </row>
    <row r="41" spans="1:11" x14ac:dyDescent="0.3">
      <c r="A41" s="8"/>
      <c r="B41" s="10"/>
      <c r="C41" s="10"/>
      <c r="D41" s="10"/>
      <c r="E41" s="10"/>
      <c r="F41" s="10"/>
      <c r="G41" s="10"/>
      <c r="H41" s="10"/>
      <c r="I41" s="10"/>
      <c r="J41" s="10"/>
      <c r="K41" s="8"/>
    </row>
    <row r="42" spans="1:11" x14ac:dyDescent="0.3">
      <c r="A42" s="8"/>
      <c r="B42" s="12" t="s">
        <v>136</v>
      </c>
      <c r="C42" s="90">
        <v>1E-3</v>
      </c>
      <c r="D42" s="13" t="s">
        <v>137</v>
      </c>
      <c r="E42" s="10"/>
      <c r="F42" s="12" t="s">
        <v>139</v>
      </c>
      <c r="G42" s="90">
        <v>10000</v>
      </c>
      <c r="H42" s="93" t="s">
        <v>140</v>
      </c>
      <c r="I42" s="72">
        <f>IF(G42="","", G42*VLOOKUP(H42,Unit_Control!D4:E7,2,FALSE))</f>
        <v>10000</v>
      </c>
      <c r="J42" s="10"/>
      <c r="K42" s="8"/>
    </row>
    <row r="43" spans="1:11" x14ac:dyDescent="0.3">
      <c r="A43" s="8"/>
      <c r="B43" s="12" t="s">
        <v>138</v>
      </c>
      <c r="C43" s="90">
        <v>1.2E-4</v>
      </c>
      <c r="D43" s="13" t="s">
        <v>137</v>
      </c>
      <c r="E43" s="10"/>
      <c r="F43" s="12" t="s">
        <v>141</v>
      </c>
      <c r="G43" s="90">
        <v>10000</v>
      </c>
      <c r="H43" s="93" t="s">
        <v>140</v>
      </c>
      <c r="I43" s="72">
        <f>IF(G43="","", G43*VLOOKUP(H43,Unit_Control!D4:E7,2,FALSE))</f>
        <v>10000</v>
      </c>
      <c r="J43" s="10"/>
      <c r="K43" s="8"/>
    </row>
    <row r="44" spans="1:11" x14ac:dyDescent="0.3">
      <c r="A44" s="8"/>
      <c r="B44" s="12"/>
      <c r="C44" s="13"/>
      <c r="D44" s="13"/>
      <c r="E44" s="10"/>
      <c r="F44" s="12" t="s">
        <v>777</v>
      </c>
      <c r="G44" s="89">
        <f>VLOOKUP(C19, Chemical_Properties!A2:K26, 11, FALSE)</f>
        <v>50</v>
      </c>
      <c r="H44" s="13" t="s">
        <v>776</v>
      </c>
      <c r="I44" s="72">
        <f>G44*VLOOKUP(H44,Unit_Control!D4:E7,2,FALSE)</f>
        <v>50000</v>
      </c>
      <c r="J44" s="10"/>
      <c r="K44" s="8"/>
    </row>
    <row r="45" spans="1:11" x14ac:dyDescent="0.3">
      <c r="A45" s="8"/>
      <c r="B45" s="12"/>
      <c r="C45" s="13"/>
      <c r="D45" s="13"/>
      <c r="E45" s="10"/>
      <c r="F45" s="12" t="s">
        <v>778</v>
      </c>
      <c r="G45" s="89">
        <f>VLOOKUP(C8, Chemical_Properties!A2:M26, 13, FALSE)</f>
        <v>220</v>
      </c>
      <c r="H45" s="13" t="s">
        <v>776</v>
      </c>
      <c r="I45" s="72">
        <f>G45*VLOOKUP(H45,Unit_Control!D4:E7,2,FALSE)</f>
        <v>220000</v>
      </c>
      <c r="J45" s="10"/>
      <c r="K45" s="8"/>
    </row>
    <row r="46" spans="1:11" x14ac:dyDescent="0.3">
      <c r="A46" s="8"/>
      <c r="B46" s="12"/>
      <c r="C46" s="10"/>
      <c r="D46" s="10"/>
      <c r="E46" s="10"/>
      <c r="F46" s="10"/>
      <c r="G46" s="10"/>
      <c r="H46" s="10"/>
      <c r="I46" s="10"/>
      <c r="J46" s="10"/>
      <c r="K46" s="8"/>
    </row>
    <row r="47" spans="1:11" x14ac:dyDescent="0.3">
      <c r="A47" s="8"/>
      <c r="B47" s="10"/>
      <c r="C47" s="10"/>
      <c r="D47" s="10"/>
      <c r="E47" s="10"/>
      <c r="F47" s="10"/>
      <c r="G47" s="10"/>
      <c r="H47" s="10"/>
      <c r="I47" s="10"/>
      <c r="J47" s="10"/>
      <c r="K47" s="8"/>
    </row>
    <row r="48" spans="1:11" x14ac:dyDescent="0.3">
      <c r="A48" s="8"/>
      <c r="B48" s="10"/>
      <c r="C48" s="10"/>
      <c r="D48" s="10"/>
      <c r="E48" s="10"/>
      <c r="F48" s="10"/>
      <c r="G48" s="10"/>
      <c r="H48" s="10"/>
      <c r="I48" s="10"/>
      <c r="J48" s="10"/>
      <c r="K48" s="8"/>
    </row>
    <row r="49" spans="1:11" x14ac:dyDescent="0.3">
      <c r="A49" s="8"/>
      <c r="B49" s="8"/>
      <c r="C49" s="8"/>
      <c r="D49" s="8"/>
      <c r="E49" s="8"/>
      <c r="F49" s="8"/>
      <c r="G49" s="8"/>
      <c r="H49" s="8"/>
      <c r="I49" s="8"/>
      <c r="J49" s="8"/>
      <c r="K49" s="8"/>
    </row>
    <row r="50" spans="1:11" x14ac:dyDescent="0.3">
      <c r="A50" s="8"/>
      <c r="B50" s="8"/>
      <c r="C50" s="8"/>
      <c r="D50" s="8"/>
      <c r="E50" s="8"/>
      <c r="F50" s="8"/>
      <c r="G50" s="8"/>
      <c r="H50" s="8"/>
      <c r="I50" s="8"/>
      <c r="J50" s="8"/>
      <c r="K50" s="8"/>
    </row>
    <row r="51" spans="1:11" x14ac:dyDescent="0.3">
      <c r="A51" s="8"/>
      <c r="B51" s="8"/>
      <c r="C51" s="8"/>
      <c r="D51" s="8"/>
      <c r="E51" s="8"/>
      <c r="F51" s="8"/>
      <c r="G51" s="8"/>
      <c r="H51" s="8"/>
      <c r="I51" s="8"/>
      <c r="J51" s="8"/>
      <c r="K51" s="8"/>
    </row>
    <row r="52" spans="1:11" x14ac:dyDescent="0.3">
      <c r="A52" s="8"/>
      <c r="B52" s="8"/>
      <c r="C52" s="8"/>
      <c r="D52" s="8"/>
      <c r="E52" s="8"/>
      <c r="F52" s="8"/>
      <c r="G52" s="8"/>
      <c r="H52" s="8"/>
      <c r="I52" s="8"/>
      <c r="J52" s="8"/>
      <c r="K52" s="8"/>
    </row>
  </sheetData>
  <sheetProtection algorithmName="SHA-512" hashValue="bg1ue+9rA+nA/cwnCSRy1gzA3urwE0AXlbkfgkvnj/q7NV1SOR5JcPHcLx4Y9bxKlW10zHzv69Pi64lObJbnNg==" saltValue="Aa82NA4SVeISsVJquPlzKQ==" spinCount="100000" sheet="1" objects="1" scenarios="1" selectLockedCells="1"/>
  <mergeCells count="6">
    <mergeCell ref="B2:J3"/>
    <mergeCell ref="B4:J4"/>
    <mergeCell ref="B6:J6"/>
    <mergeCell ref="B17:J17"/>
    <mergeCell ref="B40:J40"/>
    <mergeCell ref="B32:J32"/>
  </mergeCells>
  <dataValidations count="3">
    <dataValidation type="list" allowBlank="1" showInputMessage="1" showErrorMessage="1" sqref="C15" xr:uid="{0CA99B69-1487-49F1-95B6-250926F6DCBF}">
      <formula1>"Yes, No"</formula1>
    </dataValidation>
    <dataValidation type="decimal" allowBlank="1" showInputMessage="1" showErrorMessage="1" sqref="C34:C37" xr:uid="{840B6040-0EF8-406E-AAB3-3DE821C3DC03}">
      <formula1>-50</formula1>
      <formula2>500</formula2>
    </dataValidation>
    <dataValidation type="list" allowBlank="1" showInputMessage="1" showErrorMessage="1" sqref="C24" xr:uid="{C83171A4-48F3-48EC-A990-BC76409F4342}">
      <formula1>"Triangular, Square"</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10">
        <x14:dataValidation type="list" allowBlank="1" showInputMessage="1" showErrorMessage="1" xr:uid="{3E1E8ACE-31F4-49AA-80E0-C2B36E99015E}">
          <x14:formula1>
            <xm:f>Unit_Control!$A$4:$A$7</xm:f>
          </x14:formula1>
          <xm:sqref>D9:D10 D20:D23</xm:sqref>
        </x14:dataValidation>
        <x14:dataValidation type="list" allowBlank="1" showInputMessage="1" showErrorMessage="1" xr:uid="{56EBF445-6FD4-435B-831D-4F903ED0150A}">
          <x14:formula1>
            <xm:f>Unit_Control!$J$4:$J$5</xm:f>
          </x14:formula1>
          <xm:sqref>D13</xm:sqref>
        </x14:dataValidation>
        <x14:dataValidation type="list" allowBlank="1" showInputMessage="1" showErrorMessage="1" xr:uid="{C8A07859-6404-424A-BAE3-F2F55B3C4785}">
          <x14:formula1>
            <xm:f>Unit_Control!$G$4:$G$6</xm:f>
          </x14:formula1>
          <xm:sqref>H9 H20</xm:sqref>
        </x14:dataValidation>
        <x14:dataValidation type="list" allowBlank="1" showInputMessage="1" showErrorMessage="1" xr:uid="{EA53855E-9768-4980-A54B-1D26A8C0072E}">
          <x14:formula1>
            <xm:f>Unit_Control!$P$4:$P$5</xm:f>
          </x14:formula1>
          <xm:sqref>H10 H21</xm:sqref>
        </x14:dataValidation>
        <x14:dataValidation type="list" allowBlank="1" showInputMessage="1" showErrorMessage="1" xr:uid="{559B4DDD-FBFF-439B-BCA4-799EC0E8FD60}">
          <x14:formula1>
            <xm:f>Unit_Control!$M$4:$M$5</xm:f>
          </x14:formula1>
          <xm:sqref>H11 H22</xm:sqref>
        </x14:dataValidation>
        <x14:dataValidation type="list" allowBlank="1" showInputMessage="1" showErrorMessage="1" xr:uid="{F2FC222C-D71E-4B98-821B-B4C308923AB5}">
          <x14:formula1>
            <xm:f>Unit_Control!$D$4:$D$7</xm:f>
          </x14:formula1>
          <xm:sqref>H42:H43</xm:sqref>
        </x14:dataValidation>
        <x14:dataValidation type="list" allowBlank="1" showInputMessage="1" showErrorMessage="1" xr:uid="{B504E820-04F9-485C-A1E1-325E93B37302}">
          <x14:formula1>
            <xm:f>Unit_Control!$S$4:$S$8</xm:f>
          </x14:formula1>
          <xm:sqref>H12 H23</xm:sqref>
        </x14:dataValidation>
        <x14:dataValidation type="list" allowBlank="1" showInputMessage="1" showErrorMessage="1" xr:uid="{3685D0AB-79FD-443B-AB6A-1E559DA26D63}">
          <x14:formula1>
            <xm:f>Unit_Control!$V$4:$V$8</xm:f>
          </x14:formula1>
          <xm:sqref>H13 H24</xm:sqref>
        </x14:dataValidation>
        <x14:dataValidation type="list" allowBlank="1" showInputMessage="1" showErrorMessage="1" xr:uid="{C0E10188-5F66-4F4D-850A-3974DBE33A1D}">
          <x14:formula1>
            <xm:f>Chemical_Properties!$A$2:$A$98</xm:f>
          </x14:formula1>
          <xm:sqref>C8</xm:sqref>
        </x14:dataValidation>
        <x14:dataValidation type="list" allowBlank="1" showInputMessage="1" showErrorMessage="1" xr:uid="{43F8DD1F-1AC6-4758-98EA-F270C1852F87}">
          <x14:formula1>
            <xm:f>Chemical_Properties!$A$2:$A$99</xm:f>
          </x14:formula1>
          <xm:sqref>C19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D625E-A86C-4FA2-8D16-85825D482AF8}">
  <dimension ref="A1:M42"/>
  <sheetViews>
    <sheetView showGridLines="0" workbookViewId="0">
      <selection activeCell="P29" sqref="P29"/>
    </sheetView>
  </sheetViews>
  <sheetFormatPr defaultRowHeight="14.4" x14ac:dyDescent="0.3"/>
  <cols>
    <col min="4" max="4" width="14.44140625" hidden="1" customWidth="1"/>
    <col min="10" max="10" width="11.21875" hidden="1" customWidth="1"/>
    <col min="11" max="11" width="11.33203125" customWidth="1"/>
    <col min="13" max="13" width="12" style="70" bestFit="1" customWidth="1"/>
  </cols>
  <sheetData>
    <row r="1" spans="1:13" x14ac:dyDescent="0.3">
      <c r="A1" s="8"/>
      <c r="B1" s="8"/>
      <c r="C1" s="8"/>
      <c r="D1" s="8"/>
      <c r="E1" s="8"/>
      <c r="F1" s="8"/>
      <c r="G1" s="8"/>
      <c r="H1" s="8"/>
      <c r="I1" s="8"/>
      <c r="J1" s="8"/>
      <c r="K1" s="8"/>
      <c r="L1" s="8"/>
      <c r="M1" s="68"/>
    </row>
    <row r="2" spans="1:13" x14ac:dyDescent="0.3">
      <c r="A2" s="8"/>
      <c r="B2" s="122" t="s">
        <v>142</v>
      </c>
      <c r="C2" s="119"/>
      <c r="D2" s="119"/>
      <c r="E2" s="119"/>
      <c r="F2" s="119"/>
      <c r="G2" s="119"/>
      <c r="H2" s="119"/>
      <c r="I2" s="119"/>
      <c r="J2" s="119"/>
      <c r="K2" s="119"/>
      <c r="L2" s="119"/>
      <c r="M2" s="68"/>
    </row>
    <row r="3" spans="1:13" x14ac:dyDescent="0.3">
      <c r="A3" s="8"/>
      <c r="B3" s="119"/>
      <c r="C3" s="119"/>
      <c r="D3" s="119"/>
      <c r="E3" s="119"/>
      <c r="F3" s="119"/>
      <c r="G3" s="119"/>
      <c r="H3" s="119"/>
      <c r="I3" s="119"/>
      <c r="J3" s="119"/>
      <c r="K3" s="119"/>
      <c r="L3" s="119"/>
      <c r="M3" s="68"/>
    </row>
    <row r="4" spans="1:13" x14ac:dyDescent="0.3">
      <c r="A4" s="8"/>
      <c r="B4" s="117" t="s">
        <v>143</v>
      </c>
      <c r="C4" s="117"/>
      <c r="D4" s="117"/>
      <c r="E4" s="117"/>
      <c r="F4" s="117"/>
      <c r="G4" s="117"/>
      <c r="H4" s="117"/>
      <c r="I4" s="117"/>
      <c r="J4" s="117"/>
      <c r="K4" s="117"/>
      <c r="L4" s="117"/>
      <c r="M4" s="68"/>
    </row>
    <row r="5" spans="1:13" x14ac:dyDescent="0.3">
      <c r="A5" s="8"/>
      <c r="B5" s="8"/>
      <c r="C5" s="8"/>
      <c r="D5" s="8"/>
      <c r="E5" s="8"/>
      <c r="F5" s="8"/>
      <c r="G5" s="8"/>
      <c r="H5" s="8"/>
      <c r="I5" s="8"/>
      <c r="J5" s="8"/>
      <c r="K5" s="8"/>
      <c r="L5" s="8"/>
      <c r="M5" s="68"/>
    </row>
    <row r="6" spans="1:13" x14ac:dyDescent="0.3">
      <c r="A6" s="8"/>
      <c r="B6" s="110" t="s">
        <v>144</v>
      </c>
      <c r="C6" s="110"/>
      <c r="D6" s="110"/>
      <c r="E6" s="110"/>
      <c r="F6" s="110"/>
      <c r="G6" s="68"/>
      <c r="H6" s="110" t="s">
        <v>145</v>
      </c>
      <c r="I6" s="110"/>
      <c r="J6" s="110"/>
      <c r="K6" s="110"/>
      <c r="L6" s="110"/>
      <c r="M6" s="68"/>
    </row>
    <row r="7" spans="1:13" x14ac:dyDescent="0.3">
      <c r="A7" s="8"/>
      <c r="B7" s="10"/>
      <c r="C7" s="10"/>
      <c r="D7" s="10"/>
      <c r="E7" s="10"/>
      <c r="F7" s="10"/>
      <c r="G7" s="68"/>
      <c r="H7" s="10"/>
      <c r="I7" s="10"/>
      <c r="J7" s="10"/>
      <c r="K7" s="10"/>
      <c r="L7" s="10"/>
      <c r="M7" s="68"/>
    </row>
    <row r="8" spans="1:13" x14ac:dyDescent="0.3">
      <c r="A8" s="8"/>
      <c r="B8" s="16" t="s">
        <v>147</v>
      </c>
      <c r="C8" s="15"/>
      <c r="D8" s="71">
        <f>Overall_Rating!B2</f>
        <v>61.374403356603608</v>
      </c>
      <c r="E8" s="17">
        <f>G8</f>
        <v>61.374403356603608</v>
      </c>
      <c r="F8" s="20" t="s">
        <v>148</v>
      </c>
      <c r="G8" s="69">
        <f>D8/VLOOKUP(F8,Unit_Control!Y4:Z8,2,FALSE)</f>
        <v>61.374403356603608</v>
      </c>
      <c r="H8" s="16" t="s">
        <v>153</v>
      </c>
      <c r="I8" s="15"/>
      <c r="J8" s="73">
        <f>Tube_DP!B4</f>
        <v>591.60747916265336</v>
      </c>
      <c r="K8" s="19">
        <f>M8</f>
        <v>5.9160747916265338E-3</v>
      </c>
      <c r="L8" s="20" t="s">
        <v>154</v>
      </c>
      <c r="M8" s="69">
        <f>J8/VLOOKUP(L8,Unit_Control!D4:E7,2,FALSE)</f>
        <v>5.9160747916265338E-3</v>
      </c>
    </row>
    <row r="9" spans="1:13" x14ac:dyDescent="0.3">
      <c r="A9" s="8"/>
      <c r="B9" s="15"/>
      <c r="C9" s="15"/>
      <c r="D9" s="72"/>
      <c r="E9" s="18"/>
      <c r="F9" s="20"/>
      <c r="G9" s="68"/>
      <c r="H9" s="10"/>
      <c r="I9" s="10"/>
      <c r="J9" s="10"/>
      <c r="K9" s="76"/>
      <c r="L9" s="10"/>
      <c r="M9" s="68"/>
    </row>
    <row r="10" spans="1:13" x14ac:dyDescent="0.3">
      <c r="A10" s="8"/>
      <c r="B10" s="16" t="s">
        <v>149</v>
      </c>
      <c r="C10" s="15"/>
      <c r="D10" s="71">
        <f>Overall_Rating!B3</f>
        <v>79.030021359506236</v>
      </c>
      <c r="E10" s="17">
        <f>G10</f>
        <v>79.030021359506236</v>
      </c>
      <c r="F10" s="20" t="s">
        <v>170</v>
      </c>
      <c r="G10" s="69">
        <f>D10/VLOOKUP(F10,Unit_Control!J4:K5,2,FALSE)</f>
        <v>79.030021359506236</v>
      </c>
      <c r="H10" s="16" t="s">
        <v>139</v>
      </c>
      <c r="I10" s="15"/>
      <c r="J10" s="73">
        <f>DP_Checks!C4</f>
        <v>10000</v>
      </c>
      <c r="K10" s="75">
        <f>M10</f>
        <v>0.1</v>
      </c>
      <c r="L10" s="20" t="s">
        <v>154</v>
      </c>
      <c r="M10" s="69">
        <f>J10/VLOOKUP(L10,Unit_Control!D4:E7,2,FALSE)</f>
        <v>0.1</v>
      </c>
    </row>
    <row r="11" spans="1:13" x14ac:dyDescent="0.3">
      <c r="A11" s="8"/>
      <c r="B11" s="15"/>
      <c r="C11" s="15"/>
      <c r="D11" s="10"/>
      <c r="E11" s="15"/>
      <c r="F11" s="15"/>
      <c r="G11" s="68"/>
      <c r="H11" s="10"/>
      <c r="I11" s="10"/>
      <c r="J11" s="10"/>
      <c r="K11" s="76"/>
      <c r="L11" s="10"/>
      <c r="M11" s="68"/>
    </row>
    <row r="12" spans="1:13" x14ac:dyDescent="0.3">
      <c r="A12" s="8"/>
      <c r="B12" s="16" t="s">
        <v>892</v>
      </c>
      <c r="C12" s="15"/>
      <c r="D12" s="71">
        <f>Overall_Rating!B4</f>
        <v>250</v>
      </c>
      <c r="E12" s="17">
        <f>G12</f>
        <v>250</v>
      </c>
      <c r="F12" s="20" t="s">
        <v>170</v>
      </c>
      <c r="G12" s="69">
        <f>D12/VLOOKUP(F12,Unit_Control!J4:K5,2,FALSE)</f>
        <v>250</v>
      </c>
      <c r="H12" s="16" t="s">
        <v>155</v>
      </c>
      <c r="I12" s="15"/>
      <c r="J12" s="74">
        <f>Shell_DP!B8</f>
        <v>543743.88149367017</v>
      </c>
      <c r="K12" s="17">
        <f>M12</f>
        <v>5.4374388149367014</v>
      </c>
      <c r="L12" s="20" t="s">
        <v>154</v>
      </c>
      <c r="M12" s="69">
        <f>J12/VLOOKUP(L12,Unit_Control!D4:E7,2,FALSE)</f>
        <v>5.4374388149367014</v>
      </c>
    </row>
    <row r="13" spans="1:13" x14ac:dyDescent="0.3">
      <c r="A13" s="8"/>
      <c r="B13" s="15"/>
      <c r="C13" s="15"/>
      <c r="D13" s="10"/>
      <c r="E13" s="15"/>
      <c r="F13" s="15"/>
      <c r="G13" s="68"/>
      <c r="H13" s="10"/>
      <c r="I13" s="10"/>
      <c r="J13" s="10"/>
      <c r="K13" s="76"/>
      <c r="L13" s="10"/>
      <c r="M13" s="68"/>
    </row>
    <row r="14" spans="1:13" x14ac:dyDescent="0.3">
      <c r="A14" s="8"/>
      <c r="B14" s="16" t="s">
        <v>150</v>
      </c>
      <c r="C14" s="15"/>
      <c r="D14" s="71">
        <f>Overall_Rating!B5</f>
        <v>216.33548327508888</v>
      </c>
      <c r="E14" s="17">
        <f>D14</f>
        <v>216.33548327508888</v>
      </c>
      <c r="F14" s="20" t="s">
        <v>151</v>
      </c>
      <c r="G14" s="68"/>
      <c r="H14" s="16" t="s">
        <v>141</v>
      </c>
      <c r="I14" s="15"/>
      <c r="J14" s="73">
        <f>DP_Checks!C5</f>
        <v>10000</v>
      </c>
      <c r="K14" s="17">
        <f>M14</f>
        <v>0.1</v>
      </c>
      <c r="L14" s="20" t="s">
        <v>154</v>
      </c>
      <c r="M14" s="69">
        <f>J14/VLOOKUP(L14,Unit_Control!D4:E7,2,FALSE)</f>
        <v>0.1</v>
      </c>
    </row>
    <row r="15" spans="1:13" x14ac:dyDescent="0.3">
      <c r="A15" s="8"/>
      <c r="B15" s="16"/>
      <c r="C15" s="15"/>
      <c r="D15" s="71"/>
      <c r="E15" s="17"/>
      <c r="F15" s="20"/>
      <c r="G15" s="68"/>
      <c r="H15" s="16"/>
      <c r="I15" s="15"/>
      <c r="J15" s="73"/>
      <c r="K15" s="17"/>
      <c r="L15" s="20"/>
      <c r="M15" s="69"/>
    </row>
    <row r="16" spans="1:13" x14ac:dyDescent="0.3">
      <c r="A16" s="8"/>
      <c r="B16" s="16" t="s">
        <v>893</v>
      </c>
      <c r="C16" s="15"/>
      <c r="D16" s="71"/>
      <c r="E16" s="17">
        <f>E10/E12*100</f>
        <v>31.612008543802496</v>
      </c>
      <c r="F16" s="20" t="s">
        <v>151</v>
      </c>
      <c r="G16" s="68"/>
      <c r="H16" s="16" t="s">
        <v>894</v>
      </c>
      <c r="I16" s="15"/>
      <c r="J16" s="73"/>
      <c r="K16" s="17" t="str">
        <f>IF(K12/K14 &gt; K8/K10,
 "Shell-side","Tube-side")</f>
        <v>Shell-side</v>
      </c>
      <c r="L16" s="20"/>
      <c r="M16" s="69"/>
    </row>
    <row r="17" spans="1:13" x14ac:dyDescent="0.3">
      <c r="A17" s="8"/>
      <c r="B17" s="15"/>
      <c r="C17" s="15"/>
      <c r="D17" s="10"/>
      <c r="E17" s="15"/>
      <c r="F17" s="15"/>
      <c r="G17" s="68"/>
      <c r="H17" s="10"/>
      <c r="I17" s="10"/>
      <c r="J17" s="10"/>
      <c r="K17" s="10"/>
      <c r="L17" s="10"/>
      <c r="M17" s="68"/>
    </row>
    <row r="18" spans="1:13" x14ac:dyDescent="0.3">
      <c r="A18" s="8"/>
      <c r="B18" s="16" t="s">
        <v>152</v>
      </c>
      <c r="C18" s="15"/>
      <c r="D18" s="71" t="str">
        <f>Overall_Rating!B6</f>
        <v>OK</v>
      </c>
      <c r="E18" s="17" t="str">
        <f>D18</f>
        <v>OK</v>
      </c>
      <c r="F18" s="20"/>
      <c r="G18" s="68"/>
      <c r="H18" s="16" t="s">
        <v>156</v>
      </c>
      <c r="I18" s="15"/>
      <c r="J18" s="73" t="str">
        <f>Overall_Rating!B8</f>
        <v>⚠ CHECK ΔP</v>
      </c>
      <c r="K18" s="73" t="str">
        <f>J18</f>
        <v>⚠ CHECK ΔP</v>
      </c>
      <c r="L18" s="20"/>
      <c r="M18" s="68" t="s">
        <v>181</v>
      </c>
    </row>
    <row r="19" spans="1:13" x14ac:dyDescent="0.3">
      <c r="A19" s="8"/>
      <c r="B19" s="8"/>
      <c r="C19" s="8"/>
      <c r="D19" s="8"/>
      <c r="E19" s="8"/>
      <c r="F19" s="8"/>
      <c r="G19" s="8"/>
      <c r="H19" s="8"/>
      <c r="I19" s="8"/>
      <c r="J19" s="8"/>
      <c r="K19" s="8"/>
      <c r="L19" s="8"/>
      <c r="M19" s="68"/>
    </row>
    <row r="20" spans="1:13" x14ac:dyDescent="0.3">
      <c r="A20" s="8"/>
      <c r="B20" s="123" t="s">
        <v>146</v>
      </c>
      <c r="C20" s="123"/>
      <c r="D20" s="123"/>
      <c r="E20" s="123"/>
      <c r="F20" s="123"/>
      <c r="G20" s="123"/>
      <c r="H20" s="123"/>
      <c r="I20" s="123"/>
      <c r="J20" s="123"/>
      <c r="K20" s="123"/>
      <c r="L20" s="123"/>
      <c r="M20" s="68"/>
    </row>
    <row r="21" spans="1:13" x14ac:dyDescent="0.3">
      <c r="A21" s="8"/>
      <c r="B21" s="123"/>
      <c r="C21" s="123"/>
      <c r="D21" s="123"/>
      <c r="E21" s="123"/>
      <c r="F21" s="123"/>
      <c r="G21" s="123"/>
      <c r="H21" s="123"/>
      <c r="I21" s="123"/>
      <c r="J21" s="123"/>
      <c r="K21" s="123"/>
      <c r="L21" s="123"/>
      <c r="M21" s="68"/>
    </row>
    <row r="22" spans="1:13" x14ac:dyDescent="0.3">
      <c r="A22" s="8"/>
      <c r="B22" s="8"/>
      <c r="C22" s="8"/>
      <c r="D22" s="8"/>
      <c r="E22" s="8"/>
      <c r="F22" s="8"/>
      <c r="G22" s="8"/>
      <c r="H22" s="8"/>
      <c r="I22" s="8"/>
      <c r="J22" s="8"/>
      <c r="K22" s="8"/>
      <c r="L22" s="8"/>
      <c r="M22" s="68"/>
    </row>
    <row r="23" spans="1:13" x14ac:dyDescent="0.3">
      <c r="A23" s="8"/>
      <c r="B23" s="120" t="str">
        <f>IF(
AND(Overall_Rating!B7="FAIL",Overall_Rating!B8="OK"),
"THERMALLY LIMITED: Installed heat transfer area is insufficient for the required duty.",
IF(
AND(Overall_Rating!B7="OK",Overall_Rating!B8="⚠ CHECK ΔP"),
"HYDRAULICALLY CONSTRAINED: Pressure drop exceeds allowable limits.",
IF(
AND(Overall_Rating!B7="FAIL",Overall_Rating!B8="⚠ CHECK ΔP"),
"BOTH THERMAL AND HYDRAULIC LIMITATIONS: Redesign or revamp required.",
IF(
AND(Overall_Rating!B7="OK",Overall_Rating!B8="OK"),
"DESIGN ACCEPTABLE: Thermal and hydraulic performance are within allowable limits.",
"CHECK INPUT DATA: Unable to determine limiting condition."
))))</f>
        <v>HYDRAULICALLY CONSTRAINED: Pressure drop exceeds allowable limits.</v>
      </c>
      <c r="C23" s="120"/>
      <c r="D23" s="120"/>
      <c r="E23" s="120"/>
      <c r="F23" s="120"/>
      <c r="G23" s="120"/>
      <c r="H23" s="120"/>
      <c r="I23" s="120"/>
      <c r="J23" s="120"/>
      <c r="K23" s="120"/>
      <c r="L23" s="120"/>
      <c r="M23" s="68"/>
    </row>
    <row r="24" spans="1:13" x14ac:dyDescent="0.3">
      <c r="A24" s="8"/>
      <c r="B24" s="120"/>
      <c r="C24" s="120"/>
      <c r="D24" s="120"/>
      <c r="E24" s="120"/>
      <c r="F24" s="120"/>
      <c r="G24" s="120"/>
      <c r="H24" s="120"/>
      <c r="I24" s="120"/>
      <c r="J24" s="120"/>
      <c r="K24" s="120"/>
      <c r="L24" s="120"/>
      <c r="M24" s="68"/>
    </row>
    <row r="25" spans="1:13" x14ac:dyDescent="0.3">
      <c r="A25" s="8"/>
      <c r="B25" s="120"/>
      <c r="C25" s="120"/>
      <c r="D25" s="120"/>
      <c r="E25" s="120"/>
      <c r="F25" s="120"/>
      <c r="G25" s="120"/>
      <c r="H25" s="120"/>
      <c r="I25" s="120"/>
      <c r="J25" s="120"/>
      <c r="K25" s="120"/>
      <c r="L25" s="120"/>
      <c r="M25" s="68"/>
    </row>
    <row r="26" spans="1:13" x14ac:dyDescent="0.3">
      <c r="A26" s="8"/>
      <c r="B26" s="120"/>
      <c r="C26" s="120"/>
      <c r="D26" s="120"/>
      <c r="E26" s="120"/>
      <c r="F26" s="120"/>
      <c r="G26" s="120"/>
      <c r="H26" s="120"/>
      <c r="I26" s="120"/>
      <c r="J26" s="120"/>
      <c r="K26" s="120"/>
      <c r="L26" s="120"/>
      <c r="M26" s="68"/>
    </row>
    <row r="27" spans="1:13" x14ac:dyDescent="0.3">
      <c r="A27" s="8"/>
      <c r="B27" s="8"/>
      <c r="C27" s="8"/>
      <c r="D27" s="8"/>
      <c r="E27" s="8"/>
      <c r="F27" s="8"/>
      <c r="G27" s="8"/>
      <c r="H27" s="8"/>
      <c r="I27" s="8"/>
      <c r="J27" s="8"/>
      <c r="K27" s="8"/>
      <c r="L27" s="8"/>
      <c r="M27" s="68"/>
    </row>
    <row r="28" spans="1:13" x14ac:dyDescent="0.3">
      <c r="A28" s="8"/>
      <c r="B28" s="8"/>
      <c r="C28" s="8"/>
      <c r="D28" s="8"/>
      <c r="E28" s="8"/>
      <c r="F28" s="8"/>
      <c r="G28" s="8"/>
      <c r="H28" s="8"/>
      <c r="I28" s="8"/>
      <c r="J28" s="8"/>
      <c r="K28" s="8"/>
      <c r="L28" s="8"/>
      <c r="M28" s="68"/>
    </row>
    <row r="29" spans="1:13" x14ac:dyDescent="0.3">
      <c r="A29" s="8"/>
      <c r="B29" s="8"/>
      <c r="C29" s="8"/>
      <c r="D29" s="8"/>
      <c r="E29" s="8"/>
      <c r="F29" s="8"/>
      <c r="G29" s="8"/>
      <c r="H29" s="8"/>
      <c r="I29" s="8"/>
      <c r="J29" s="8"/>
      <c r="K29" s="8"/>
      <c r="L29" s="8"/>
      <c r="M29" s="68"/>
    </row>
    <row r="30" spans="1:13" x14ac:dyDescent="0.3">
      <c r="A30" s="8"/>
      <c r="B30" s="121" t="str">
        <f>IF(
Unit_Check!B13="OK",
"Unit consistency check: PASSED.",
IF(
Unit_Check!B13="WARNING",
"⚠ Unit consistency WARNING. Review unit selections before finalizing results.",
"❌ Unit consistency ERROR. Fix unit inputs before using results."
)
)</f>
        <v>Unit consistency check: PASSED.</v>
      </c>
      <c r="C30" s="121"/>
      <c r="D30" s="121"/>
      <c r="E30" s="121"/>
      <c r="F30" s="121"/>
      <c r="G30" s="121"/>
      <c r="H30" s="121"/>
      <c r="I30" s="121"/>
      <c r="J30" s="121"/>
      <c r="K30" s="121"/>
      <c r="L30" s="121"/>
      <c r="M30" s="68"/>
    </row>
    <row r="31" spans="1:13" x14ac:dyDescent="0.3">
      <c r="A31" s="8"/>
      <c r="B31" s="121"/>
      <c r="C31" s="121"/>
      <c r="D31" s="121"/>
      <c r="E31" s="121"/>
      <c r="F31" s="121"/>
      <c r="G31" s="121"/>
      <c r="H31" s="121"/>
      <c r="I31" s="121"/>
      <c r="J31" s="121"/>
      <c r="K31" s="121"/>
      <c r="L31" s="121"/>
      <c r="M31" s="68"/>
    </row>
    <row r="32" spans="1:13" x14ac:dyDescent="0.3">
      <c r="A32" s="8"/>
      <c r="B32" s="121"/>
      <c r="C32" s="121"/>
      <c r="D32" s="121"/>
      <c r="E32" s="121"/>
      <c r="F32" s="121"/>
      <c r="G32" s="121"/>
      <c r="H32" s="121"/>
      <c r="I32" s="121"/>
      <c r="J32" s="121"/>
      <c r="K32" s="121"/>
      <c r="L32" s="121"/>
      <c r="M32" s="68"/>
    </row>
    <row r="33" spans="1:13" x14ac:dyDescent="0.3">
      <c r="A33" s="8"/>
      <c r="B33" s="8"/>
      <c r="C33" s="8"/>
      <c r="D33" s="8"/>
      <c r="E33" s="8"/>
      <c r="F33" s="8"/>
      <c r="G33" s="8"/>
      <c r="H33" s="8"/>
      <c r="I33" s="8"/>
      <c r="J33" s="8"/>
      <c r="K33" s="8"/>
      <c r="L33" s="8"/>
      <c r="M33" s="68"/>
    </row>
    <row r="34" spans="1:13" x14ac:dyDescent="0.3">
      <c r="A34" s="8"/>
      <c r="B34" s="8"/>
      <c r="C34" s="8"/>
      <c r="D34" s="8"/>
      <c r="E34" s="8"/>
      <c r="F34" s="8"/>
      <c r="G34" s="8"/>
      <c r="H34" s="8"/>
      <c r="I34" s="8"/>
      <c r="J34" s="8"/>
      <c r="K34" s="8"/>
      <c r="L34" s="8"/>
      <c r="M34" s="68"/>
    </row>
    <row r="35" spans="1:13" x14ac:dyDescent="0.3">
      <c r="A35" s="8"/>
      <c r="B35" s="8"/>
      <c r="C35" s="8"/>
      <c r="D35" s="8"/>
      <c r="E35" s="8"/>
      <c r="F35" s="8"/>
      <c r="G35" s="8"/>
      <c r="H35" s="8"/>
      <c r="I35" s="8"/>
      <c r="J35" s="8"/>
      <c r="K35" s="8"/>
      <c r="L35" s="8"/>
      <c r="M35" s="68"/>
    </row>
    <row r="36" spans="1:13" x14ac:dyDescent="0.3">
      <c r="A36" s="8"/>
      <c r="B36" s="8"/>
      <c r="C36" s="8"/>
      <c r="D36" s="8"/>
      <c r="E36" s="8"/>
      <c r="F36" s="8"/>
      <c r="G36" s="8"/>
      <c r="H36" s="8"/>
      <c r="I36" s="8"/>
      <c r="J36" s="8"/>
      <c r="K36" s="8"/>
      <c r="L36" s="8"/>
      <c r="M36" s="68"/>
    </row>
    <row r="37" spans="1:13" x14ac:dyDescent="0.3">
      <c r="A37" s="8"/>
      <c r="B37" s="8"/>
      <c r="C37" s="8"/>
      <c r="D37" s="8"/>
      <c r="E37" s="8"/>
      <c r="F37" s="8"/>
      <c r="G37" s="8"/>
      <c r="H37" s="8"/>
      <c r="I37" s="8"/>
      <c r="J37" s="8"/>
      <c r="K37" s="8"/>
      <c r="L37" s="8"/>
      <c r="M37" s="68"/>
    </row>
    <row r="38" spans="1:13" x14ac:dyDescent="0.3">
      <c r="A38" s="8"/>
      <c r="B38" s="8"/>
      <c r="C38" s="8"/>
      <c r="D38" s="8"/>
      <c r="E38" s="8"/>
      <c r="F38" s="8"/>
      <c r="G38" s="8"/>
      <c r="H38" s="8"/>
      <c r="I38" s="8"/>
      <c r="J38" s="8"/>
      <c r="K38" s="8"/>
      <c r="L38" s="8"/>
      <c r="M38" s="68"/>
    </row>
    <row r="39" spans="1:13" x14ac:dyDescent="0.3">
      <c r="A39" s="8"/>
      <c r="B39" s="8"/>
      <c r="C39" s="8"/>
      <c r="D39" s="8"/>
      <c r="E39" s="8"/>
      <c r="F39" s="8"/>
      <c r="G39" s="8"/>
      <c r="H39" s="8"/>
      <c r="I39" s="8"/>
      <c r="J39" s="8"/>
      <c r="K39" s="8"/>
      <c r="L39" s="8"/>
      <c r="M39" s="68"/>
    </row>
    <row r="40" spans="1:13" x14ac:dyDescent="0.3">
      <c r="A40" s="8"/>
      <c r="B40" s="8"/>
      <c r="C40" s="8"/>
      <c r="D40" s="8"/>
      <c r="E40" s="8"/>
      <c r="F40" s="8"/>
      <c r="G40" s="8"/>
      <c r="H40" s="8"/>
      <c r="I40" s="8"/>
      <c r="J40" s="8"/>
      <c r="K40" s="8"/>
      <c r="L40" s="8"/>
      <c r="M40" s="68"/>
    </row>
    <row r="41" spans="1:13" x14ac:dyDescent="0.3">
      <c r="A41" s="8"/>
      <c r="B41" s="8"/>
      <c r="C41" s="8"/>
      <c r="D41" s="8"/>
      <c r="E41" s="8"/>
      <c r="F41" s="8"/>
      <c r="G41" s="8"/>
      <c r="H41" s="8"/>
      <c r="I41" s="8"/>
      <c r="J41" s="8"/>
      <c r="K41" s="8"/>
      <c r="L41" s="8"/>
      <c r="M41" s="68"/>
    </row>
    <row r="42" spans="1:13" x14ac:dyDescent="0.3">
      <c r="A42" s="8"/>
      <c r="B42" s="8"/>
      <c r="C42" s="8"/>
      <c r="D42" s="8"/>
      <c r="E42" s="8"/>
      <c r="F42" s="8"/>
      <c r="G42" s="8"/>
      <c r="H42" s="8"/>
      <c r="I42" s="8"/>
      <c r="J42" s="8"/>
      <c r="K42" s="8"/>
      <c r="L42" s="8"/>
      <c r="M42" s="68"/>
    </row>
  </sheetData>
  <sheetProtection algorithmName="SHA-512" hashValue="y6uM1FVp4uAmGjkGcvMZBz/6QyJL3PS1CTSYVSWBQa7FCTStp9zWzpDT6+5Ts6f2nJTQKNUDJpmmaa+3CEAfCA==" saltValue="5eeQYcrErp18hnVDxi0mJg==" spinCount="100000" sheet="1" objects="1" scenarios="1" selectLockedCells="1"/>
  <mergeCells count="7">
    <mergeCell ref="B23:L26"/>
    <mergeCell ref="B30:L32"/>
    <mergeCell ref="B2:L3"/>
    <mergeCell ref="B4:L4"/>
    <mergeCell ref="B6:F6"/>
    <mergeCell ref="H6:L6"/>
    <mergeCell ref="B20:L21"/>
  </mergeCells>
  <conditionalFormatting sqref="B23:L26">
    <cfRule type="cellIs" dxfId="38" priority="8" operator="equal">
      <formula>"BOTH THERMAL AND HYDRAULIC LIMITATIONS: Redesign or revamp required."</formula>
    </cfRule>
    <cfRule type="cellIs" dxfId="37" priority="9" operator="equal">
      <formula>"HYDRAULICALLY CONSTRAINED: Pressure drop exceeds allowable limits."</formula>
    </cfRule>
    <cfRule type="cellIs" dxfId="36" priority="10" operator="equal">
      <formula>"THERMALLY LIMITED: Installed heat transfer area is insufficient for the required duty."</formula>
    </cfRule>
    <cfRule type="cellIs" dxfId="35" priority="11" operator="equal">
      <formula>"DESIGN ACCEPTABLE: Thermal and hydraulic performance are within allowable limits."</formula>
    </cfRule>
  </conditionalFormatting>
  <conditionalFormatting sqref="B30:L32">
    <cfRule type="cellIs" dxfId="34" priority="4" operator="equal">
      <formula>"❌ Unit consistency ERROR. Fix unit inputs before using results."</formula>
    </cfRule>
    <cfRule type="cellIs" dxfId="33" priority="5" operator="equal">
      <formula>"⚠ Unit consistency WARNING. Review unit selections before finalizing results."</formula>
    </cfRule>
    <cfRule type="cellIs" dxfId="32" priority="6" operator="equal">
      <formula>"Unit consistency check: PASSED."</formula>
    </cfRule>
  </conditionalFormatting>
  <conditionalFormatting sqref="D18:E18">
    <cfRule type="cellIs" dxfId="31" priority="1" operator="equal">
      <formula>"Insufficient Area"</formula>
    </cfRule>
    <cfRule type="cellIs" dxfId="30" priority="2" operator="equal">
      <formula>"Marginal Area"</formula>
    </cfRule>
    <cfRule type="cellIs" dxfId="29" priority="3" operator="equal">
      <formula>"OK"</formula>
    </cfRule>
    <cfRule type="cellIs" dxfId="28" priority="16" operator="equal">
      <formula>"FAIL"</formula>
    </cfRule>
    <cfRule type="cellIs" dxfId="27" priority="17" operator="equal">
      <formula>"PASS"</formula>
    </cfRule>
  </conditionalFormatting>
  <conditionalFormatting sqref="J18:K18">
    <cfRule type="cellIs" dxfId="26" priority="13" operator="equal">
      <formula>"OK"</formula>
    </cfRule>
    <cfRule type="cellIs" dxfId="25" priority="14" operator="equal">
      <formula>"⚠ CHECK ΔP"</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1B79856F-2CF7-4273-9BD3-86127E4FCD1B}">
          <x14:formula1>
            <xm:f>Unit_Control!$D$4:$D$7</xm:f>
          </x14:formula1>
          <xm:sqref>L8 L10 L12 L14:L16</xm:sqref>
        </x14:dataValidation>
        <x14:dataValidation type="list" allowBlank="1" showInputMessage="1" showErrorMessage="1" xr:uid="{1351ADF4-B837-4C8C-96C5-3BFABECA3D09}">
          <x14:formula1>
            <xm:f>Unit_Control!$J$4:$J$5</xm:f>
          </x14:formula1>
          <xm:sqref>F10 F12</xm:sqref>
        </x14:dataValidation>
        <x14:dataValidation type="list" allowBlank="1" showInputMessage="1" showErrorMessage="1" xr:uid="{ED8BA8AA-D944-4258-96F8-1E1683CE787F}">
          <x14:formula1>
            <xm:f>Unit_Control!$Y$4:$Y$8</xm:f>
          </x14:formula1>
          <xm:sqref>F8</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512B76-1386-4D08-A5E0-C6D7DC475A96}">
  <dimension ref="A1:K48"/>
  <sheetViews>
    <sheetView showGridLines="0" topLeftCell="A12" workbookViewId="0">
      <selection activeCell="P29" sqref="P29"/>
    </sheetView>
  </sheetViews>
  <sheetFormatPr defaultRowHeight="14.4" x14ac:dyDescent="0.3"/>
  <cols>
    <col min="6" max="6" width="8.88671875" customWidth="1"/>
  </cols>
  <sheetData>
    <row r="1" spans="1:11" x14ac:dyDescent="0.3">
      <c r="A1" s="63"/>
      <c r="B1" s="63"/>
      <c r="C1" s="63"/>
      <c r="D1" s="63"/>
      <c r="E1" s="63"/>
      <c r="F1" s="63"/>
      <c r="G1" s="63"/>
      <c r="H1" s="63"/>
      <c r="I1" s="63"/>
      <c r="J1" s="63"/>
      <c r="K1" s="63"/>
    </row>
    <row r="2" spans="1:11" ht="14.4" customHeight="1" x14ac:dyDescent="0.3">
      <c r="A2" s="63"/>
      <c r="B2" s="122" t="s">
        <v>719</v>
      </c>
      <c r="C2" s="119"/>
      <c r="D2" s="119"/>
      <c r="E2" s="119"/>
      <c r="F2" s="119"/>
      <c r="G2" s="119"/>
      <c r="H2" s="119"/>
      <c r="I2" s="119"/>
      <c r="J2" s="119"/>
      <c r="K2" s="63"/>
    </row>
    <row r="3" spans="1:11" ht="14.4" customHeight="1" x14ac:dyDescent="0.3">
      <c r="A3" s="63"/>
      <c r="B3" s="119"/>
      <c r="C3" s="119"/>
      <c r="D3" s="119"/>
      <c r="E3" s="119"/>
      <c r="F3" s="119"/>
      <c r="G3" s="119"/>
      <c r="H3" s="119"/>
      <c r="I3" s="119"/>
      <c r="J3" s="119"/>
      <c r="K3" s="63"/>
    </row>
    <row r="4" spans="1:11" x14ac:dyDescent="0.3">
      <c r="A4" s="63"/>
      <c r="B4" s="127"/>
      <c r="C4" s="127"/>
      <c r="D4" s="127"/>
      <c r="E4" s="127"/>
      <c r="F4" s="127"/>
      <c r="G4" s="127"/>
      <c r="H4" s="127"/>
      <c r="I4" s="127"/>
      <c r="J4" s="127"/>
      <c r="K4" s="63"/>
    </row>
    <row r="5" spans="1:11" ht="18" x14ac:dyDescent="0.3">
      <c r="A5" s="63"/>
      <c r="B5" s="123" t="s">
        <v>896</v>
      </c>
      <c r="C5" s="123"/>
      <c r="D5" s="123"/>
      <c r="E5" s="123"/>
      <c r="F5" s="123"/>
      <c r="G5" s="123"/>
      <c r="H5" s="123"/>
      <c r="I5" s="123"/>
      <c r="J5" s="123"/>
      <c r="K5" s="63"/>
    </row>
    <row r="6" spans="1:11" ht="25.8" customHeight="1" x14ac:dyDescent="0.3">
      <c r="A6" s="63"/>
      <c r="B6" s="128" t="str">
        <f>IF('ΔP Details'!E19&gt;100,
 "• Reduce shell-side flow rate. •Redistribute duty among parallel exchangers. •Review operating temperature to reduce viscosity if process permits.",
 "")</f>
        <v>• Reduce shell-side flow rate. •Redistribute duty among parallel exchangers. •Review operating temperature to reduce viscosity if process permits.</v>
      </c>
      <c r="C6" s="128"/>
      <c r="D6" s="128"/>
      <c r="E6" s="128"/>
      <c r="F6" s="128"/>
      <c r="G6" s="128"/>
      <c r="H6" s="128"/>
      <c r="I6" s="128"/>
      <c r="J6" s="128"/>
      <c r="K6" s="63"/>
    </row>
    <row r="7" spans="1:11" ht="32.4" customHeight="1" x14ac:dyDescent="0.3">
      <c r="A7" s="63"/>
      <c r="B7" s="126" t="str">
        <f>IF('ΔP Details'!E21&lt;0.03,
 "• Maintain clean shell-side conditions to prevent fouling that further reduces effective hydraulic diameter.",
 "")</f>
        <v>• Maintain clean shell-side conditions to prevent fouling that further reduces effective hydraulic diameter.</v>
      </c>
      <c r="C7" s="126"/>
      <c r="D7" s="126"/>
      <c r="E7" s="126"/>
      <c r="F7" s="126"/>
      <c r="G7" s="126"/>
      <c r="H7" s="126"/>
      <c r="I7" s="126"/>
      <c r="J7" s="126"/>
      <c r="K7" s="63"/>
    </row>
    <row r="8" spans="1:11" x14ac:dyDescent="0.3">
      <c r="A8" s="63"/>
      <c r="B8" s="126" t="str">
        <f>IF('ΔP Details'!E22&gt;8,
 "• Monitor vibration and consider partial bypassing if shell-side ΔP limits operation.",
 "")</f>
        <v>• Monitor vibration and consider partial bypassing if shell-side ΔP limits operation.</v>
      </c>
      <c r="C8" s="126"/>
      <c r="D8" s="126"/>
      <c r="E8" s="126"/>
      <c r="F8" s="126"/>
      <c r="G8" s="126"/>
      <c r="H8" s="126"/>
      <c r="I8" s="126"/>
      <c r="J8" s="126"/>
      <c r="K8" s="63"/>
    </row>
    <row r="9" spans="1:11" x14ac:dyDescent="0.3">
      <c r="A9" s="63"/>
      <c r="B9" s="84"/>
      <c r="C9" s="84"/>
      <c r="D9" s="84"/>
      <c r="E9" s="84"/>
      <c r="F9" s="84"/>
      <c r="G9" s="84"/>
      <c r="H9" s="84"/>
      <c r="I9" s="84"/>
      <c r="J9" s="84"/>
      <c r="K9" s="63"/>
    </row>
    <row r="10" spans="1:11" x14ac:dyDescent="0.3">
      <c r="A10" s="63"/>
      <c r="B10" s="11"/>
      <c r="K10" s="63"/>
    </row>
    <row r="11" spans="1:11" ht="18" x14ac:dyDescent="0.3">
      <c r="A11" s="63"/>
      <c r="B11" s="123" t="s">
        <v>897</v>
      </c>
      <c r="C11" s="123"/>
      <c r="D11" s="123"/>
      <c r="E11" s="123"/>
      <c r="F11" s="123"/>
      <c r="G11" s="123"/>
      <c r="H11" s="123"/>
      <c r="I11" s="123"/>
      <c r="J11" s="123"/>
      <c r="K11" s="63"/>
    </row>
    <row r="12" spans="1:11" ht="27.6" customHeight="1" x14ac:dyDescent="0.3">
      <c r="A12" s="63"/>
      <c r="B12" s="125" t="str">
        <f>IF('ΔP Details'!E20&lt;0.06,
 "• Inspect exchanger internals for fouling, blockage, or damaged baffles reducing effective flow area during next shutdown.",
 "")</f>
        <v>• Inspect exchanger internals for fouling, blockage, or damaged baffles reducing effective flow area during next shutdown.</v>
      </c>
      <c r="C12" s="125"/>
      <c r="D12" s="125"/>
      <c r="E12" s="125"/>
      <c r="F12" s="125"/>
      <c r="G12" s="125"/>
      <c r="H12" s="125"/>
      <c r="I12" s="125"/>
      <c r="J12" s="125"/>
      <c r="K12" s="63"/>
    </row>
    <row r="13" spans="1:11" x14ac:dyDescent="0.3">
      <c r="A13" s="63"/>
      <c r="B13" s="126" t="str">
        <f>IF('ΔP Details'!E23&lt;0.85,
 "• Repair or replace damaged baffles causing excessive leakage.",
 "")</f>
        <v>• Repair or replace damaged baffles causing excessive leakage.</v>
      </c>
      <c r="C13" s="126"/>
      <c r="D13" s="126"/>
      <c r="E13" s="126"/>
      <c r="F13" s="126"/>
      <c r="G13" s="126"/>
      <c r="H13" s="126"/>
      <c r="I13" s="126"/>
      <c r="J13" s="126"/>
      <c r="K13" s="63"/>
    </row>
    <row r="14" spans="1:11" ht="30.6" customHeight="1" x14ac:dyDescent="0.3">
      <c r="A14" s="63"/>
      <c r="B14" s="126" t="str">
        <f>IF('ΔP Details'!E24&lt;0.7,
 "• Install sealing strips or correct bundle positioning during maintenance to reduce shell-to-bundle bypass flow.",
 "")</f>
        <v>• Install sealing strips or correct bundle positioning during maintenance to reduce shell-to-bundle bypass flow.</v>
      </c>
      <c r="C14" s="126"/>
      <c r="D14" s="126"/>
      <c r="E14" s="126"/>
      <c r="F14" s="126"/>
      <c r="G14" s="126"/>
      <c r="H14" s="126"/>
      <c r="I14" s="126"/>
      <c r="J14" s="126"/>
      <c r="K14" s="63"/>
    </row>
    <row r="15" spans="1:11" x14ac:dyDescent="0.3">
      <c r="A15" s="63"/>
      <c r="B15" s="11"/>
      <c r="C15" s="11"/>
      <c r="D15" s="11"/>
      <c r="E15" s="11"/>
      <c r="F15" s="11"/>
      <c r="G15" s="11"/>
      <c r="H15" s="11"/>
      <c r="I15" s="11"/>
      <c r="J15" s="11"/>
      <c r="K15" s="63"/>
    </row>
    <row r="16" spans="1:11" x14ac:dyDescent="0.3">
      <c r="A16" s="63"/>
      <c r="B16" s="11"/>
      <c r="C16" s="11"/>
      <c r="D16" s="11"/>
      <c r="E16" s="11"/>
      <c r="F16" s="11"/>
      <c r="G16" s="11"/>
      <c r="H16" s="11"/>
      <c r="I16" s="11"/>
      <c r="J16" s="11"/>
      <c r="K16" s="63"/>
    </row>
    <row r="17" spans="1:11" ht="18" x14ac:dyDescent="0.3">
      <c r="A17" s="63"/>
      <c r="B17" s="123" t="s">
        <v>895</v>
      </c>
      <c r="C17" s="123"/>
      <c r="D17" s="123"/>
      <c r="E17" s="123"/>
      <c r="F17" s="123"/>
      <c r="G17" s="123"/>
      <c r="H17" s="123"/>
      <c r="I17" s="123"/>
      <c r="J17" s="123"/>
      <c r="K17" s="63"/>
    </row>
    <row r="18" spans="1:11" x14ac:dyDescent="0.3">
      <c r="A18" s="63"/>
      <c r="B18" s="124" t="str">
        <f>IF('ΔP Details'!E19&gt;100,"• Reduce shell-side mass velocity by increasing baffle spacing or shell diameter","")</f>
        <v>• Reduce shell-side mass velocity by increasing baffle spacing or shell diameter</v>
      </c>
      <c r="C18" s="124"/>
      <c r="D18" s="124"/>
      <c r="E18" s="124"/>
      <c r="F18" s="124"/>
      <c r="G18" s="124"/>
      <c r="H18" s="124"/>
      <c r="I18" s="124"/>
      <c r="J18" s="124"/>
      <c r="K18" s="63"/>
    </row>
    <row r="19" spans="1:11" x14ac:dyDescent="0.3">
      <c r="A19" s="63"/>
      <c r="B19" s="124" t="str">
        <f>IF('ΔP Details'!E20&lt;0.06,"• Increase cross-flow area by increasing baffle spacing or shell diameter","")</f>
        <v>• Increase cross-flow area by increasing baffle spacing or shell diameter</v>
      </c>
      <c r="C19" s="124"/>
      <c r="D19" s="124"/>
      <c r="E19" s="124"/>
      <c r="F19" s="124"/>
      <c r="G19" s="124"/>
      <c r="H19" s="124"/>
      <c r="I19" s="124"/>
      <c r="J19" s="124"/>
      <c r="K19" s="63"/>
    </row>
    <row r="20" spans="1:11" x14ac:dyDescent="0.3">
      <c r="A20" s="63"/>
      <c r="B20" s="124" t="str">
        <f>IF('ΔP Details'!E21&lt;0.03,"• Consider increasing tube pitch to improve hydraulic diameter","")</f>
        <v>• Consider increasing tube pitch to improve hydraulic diameter</v>
      </c>
      <c r="C20" s="124"/>
      <c r="D20" s="124"/>
      <c r="E20" s="124"/>
      <c r="F20" s="124"/>
      <c r="G20" s="124"/>
      <c r="H20" s="124"/>
      <c r="I20" s="124"/>
      <c r="J20" s="124"/>
      <c r="K20" s="63"/>
    </row>
    <row r="21" spans="1:11" x14ac:dyDescent="0.3">
      <c r="A21" s="63"/>
      <c r="B21" s="124" t="str">
        <f>IF('ΔP Details'!E22&gt;8,"• Reduce number of baffles by increasing baffle spacing","")</f>
        <v>• Reduce number of baffles by increasing baffle spacing</v>
      </c>
      <c r="C21" s="124"/>
      <c r="D21" s="124"/>
      <c r="E21" s="124"/>
      <c r="F21" s="124"/>
      <c r="G21" s="124"/>
      <c r="H21" s="124"/>
      <c r="I21" s="124"/>
      <c r="J21" s="124"/>
      <c r="K21" s="63"/>
    </row>
    <row r="22" spans="1:11" x14ac:dyDescent="0.3">
      <c r="A22" s="63"/>
      <c r="B22" s="124" t="str">
        <f>IF('ΔP Details'!E23&lt;0.85,"• Review shell-to-baffle and tube-to-baffle clearances to reduce leakage","")</f>
        <v>• Review shell-to-baffle and tube-to-baffle clearances to reduce leakage</v>
      </c>
      <c r="C22" s="124"/>
      <c r="D22" s="124"/>
      <c r="E22" s="124"/>
      <c r="F22" s="124"/>
      <c r="G22" s="124"/>
      <c r="H22" s="124"/>
      <c r="I22" s="124"/>
      <c r="J22" s="124"/>
      <c r="K22" s="63"/>
    </row>
    <row r="23" spans="1:11" x14ac:dyDescent="0.3">
      <c r="A23" s="63"/>
      <c r="B23" s="124" t="str">
        <f>IF('ΔP Details'!E24&lt;0.7,"• Provide sealing strips to reduce shell-to-bundle bypass flow","")</f>
        <v>• Provide sealing strips to reduce shell-to-bundle bypass flow</v>
      </c>
      <c r="C23" s="124"/>
      <c r="D23" s="124"/>
      <c r="E23" s="124"/>
      <c r="F23" s="124"/>
      <c r="G23" s="124"/>
      <c r="H23" s="124"/>
      <c r="I23" s="124"/>
      <c r="J23" s="124"/>
      <c r="K23" s="63"/>
    </row>
    <row r="24" spans="1:11" x14ac:dyDescent="0.3">
      <c r="A24" s="63"/>
      <c r="B24" s="11"/>
      <c r="C24" s="11"/>
      <c r="D24" s="11"/>
      <c r="E24" s="11"/>
      <c r="F24" s="11"/>
      <c r="G24" s="11"/>
      <c r="H24" s="11"/>
      <c r="I24" s="11"/>
      <c r="J24" s="11"/>
      <c r="K24" s="63"/>
    </row>
    <row r="25" spans="1:11" x14ac:dyDescent="0.3">
      <c r="A25" s="63"/>
      <c r="B25" s="11"/>
      <c r="C25" s="11"/>
      <c r="D25" s="11"/>
      <c r="E25" s="11"/>
      <c r="F25" s="11"/>
      <c r="G25" s="11"/>
      <c r="H25" s="11"/>
      <c r="I25" s="11"/>
      <c r="J25" s="11"/>
      <c r="K25" s="63"/>
    </row>
    <row r="26" spans="1:11" x14ac:dyDescent="0.3">
      <c r="A26" s="63"/>
      <c r="B26" s="63"/>
      <c r="C26" s="63"/>
      <c r="D26" s="63"/>
      <c r="E26" s="63"/>
      <c r="F26" s="63"/>
      <c r="G26" s="63"/>
      <c r="H26" s="63"/>
      <c r="I26" s="63"/>
      <c r="J26" s="63"/>
      <c r="K26" s="63"/>
    </row>
    <row r="27" spans="1:11" x14ac:dyDescent="0.3">
      <c r="A27" s="63"/>
      <c r="B27" s="63"/>
      <c r="C27" s="63"/>
      <c r="D27" s="63"/>
      <c r="E27" s="63"/>
      <c r="F27" s="63"/>
      <c r="G27" s="63"/>
      <c r="H27" s="63"/>
      <c r="I27" s="63"/>
      <c r="J27" s="63"/>
      <c r="K27" s="63"/>
    </row>
    <row r="28" spans="1:11" x14ac:dyDescent="0.3">
      <c r="A28" s="63"/>
      <c r="B28" s="63"/>
      <c r="C28" s="63"/>
      <c r="D28" s="63"/>
      <c r="E28" s="63"/>
      <c r="F28" s="63"/>
      <c r="G28" s="63"/>
      <c r="H28" s="63"/>
      <c r="I28" s="63"/>
      <c r="J28" s="63"/>
      <c r="K28" s="63"/>
    </row>
    <row r="29" spans="1:11" x14ac:dyDescent="0.3">
      <c r="A29" s="63"/>
      <c r="B29" s="63"/>
      <c r="C29" s="63"/>
      <c r="D29" s="63"/>
      <c r="E29" s="63"/>
      <c r="F29" s="63"/>
      <c r="G29" s="63"/>
      <c r="H29" s="63"/>
      <c r="I29" s="63"/>
      <c r="J29" s="63"/>
      <c r="K29" s="63"/>
    </row>
    <row r="30" spans="1:11" x14ac:dyDescent="0.3">
      <c r="A30" s="63"/>
      <c r="B30" s="63"/>
      <c r="C30" s="63"/>
      <c r="D30" s="63"/>
      <c r="E30" s="63"/>
      <c r="F30" s="63"/>
      <c r="G30" s="63"/>
      <c r="H30" s="63"/>
      <c r="I30" s="63"/>
      <c r="J30" s="63"/>
      <c r="K30" s="63"/>
    </row>
    <row r="31" spans="1:11" x14ac:dyDescent="0.3">
      <c r="A31" s="63"/>
      <c r="B31" s="63"/>
      <c r="C31" s="63"/>
      <c r="D31" s="63"/>
      <c r="E31" s="63"/>
      <c r="F31" s="63"/>
      <c r="G31" s="63"/>
      <c r="H31" s="63"/>
      <c r="I31" s="63"/>
      <c r="J31" s="63"/>
      <c r="K31" s="63"/>
    </row>
    <row r="32" spans="1:11" x14ac:dyDescent="0.3">
      <c r="A32" s="63"/>
      <c r="B32" s="63"/>
      <c r="C32" s="63"/>
      <c r="D32" s="63"/>
      <c r="E32" s="63"/>
      <c r="F32" s="63"/>
      <c r="G32" s="63"/>
      <c r="H32" s="63"/>
      <c r="I32" s="63"/>
      <c r="J32" s="63"/>
      <c r="K32" s="63"/>
    </row>
    <row r="33" spans="1:11" x14ac:dyDescent="0.3">
      <c r="A33" s="63"/>
      <c r="B33" s="63"/>
      <c r="C33" s="63"/>
      <c r="D33" s="63"/>
      <c r="E33" s="63"/>
      <c r="F33" s="63"/>
      <c r="G33" s="63"/>
      <c r="H33" s="63"/>
      <c r="I33" s="63"/>
      <c r="J33" s="63"/>
      <c r="K33" s="63"/>
    </row>
    <row r="34" spans="1:11" x14ac:dyDescent="0.3">
      <c r="A34" s="63"/>
      <c r="B34" s="63"/>
      <c r="C34" s="63"/>
      <c r="D34" s="63"/>
      <c r="E34" s="63"/>
      <c r="F34" s="63"/>
      <c r="G34" s="63"/>
      <c r="H34" s="63"/>
      <c r="I34" s="63"/>
      <c r="J34" s="63"/>
      <c r="K34" s="63"/>
    </row>
    <row r="35" spans="1:11" x14ac:dyDescent="0.3">
      <c r="A35" s="63"/>
      <c r="B35" s="63"/>
      <c r="C35" s="63"/>
      <c r="D35" s="63"/>
      <c r="E35" s="63"/>
      <c r="F35" s="63"/>
      <c r="G35" s="63"/>
      <c r="H35" s="63"/>
      <c r="I35" s="63"/>
      <c r="J35" s="63"/>
      <c r="K35" s="63"/>
    </row>
    <row r="36" spans="1:11" x14ac:dyDescent="0.3">
      <c r="A36" s="63"/>
      <c r="B36" s="63"/>
      <c r="C36" s="63"/>
      <c r="D36" s="63"/>
      <c r="E36" s="63"/>
      <c r="F36" s="63"/>
      <c r="G36" s="63"/>
      <c r="H36" s="63"/>
      <c r="I36" s="63"/>
      <c r="J36" s="63"/>
      <c r="K36" s="63"/>
    </row>
    <row r="37" spans="1:11" x14ac:dyDescent="0.3">
      <c r="A37" s="63"/>
      <c r="B37" s="63"/>
      <c r="C37" s="63"/>
      <c r="D37" s="63"/>
      <c r="E37" s="63"/>
      <c r="F37" s="63"/>
      <c r="G37" s="63"/>
      <c r="H37" s="63"/>
      <c r="I37" s="63"/>
      <c r="J37" s="63"/>
      <c r="K37" s="63"/>
    </row>
    <row r="38" spans="1:11" x14ac:dyDescent="0.3">
      <c r="A38" s="63"/>
      <c r="B38" s="63"/>
      <c r="C38" s="63"/>
      <c r="D38" s="63"/>
      <c r="E38" s="63"/>
      <c r="F38" s="63"/>
      <c r="G38" s="63"/>
      <c r="H38" s="63"/>
      <c r="I38" s="63"/>
      <c r="J38" s="63"/>
      <c r="K38" s="63"/>
    </row>
    <row r="39" spans="1:11" x14ac:dyDescent="0.3">
      <c r="A39" s="63"/>
      <c r="B39" s="63"/>
      <c r="C39" s="63"/>
      <c r="D39" s="63"/>
      <c r="E39" s="63"/>
      <c r="F39" s="63"/>
      <c r="G39" s="63"/>
      <c r="H39" s="63"/>
      <c r="I39" s="63"/>
      <c r="J39" s="63"/>
      <c r="K39" s="63"/>
    </row>
    <row r="40" spans="1:11" x14ac:dyDescent="0.3">
      <c r="A40" s="63"/>
      <c r="B40" s="63"/>
      <c r="C40" s="63"/>
      <c r="D40" s="63"/>
      <c r="E40" s="63"/>
      <c r="F40" s="63"/>
      <c r="G40" s="63"/>
      <c r="H40" s="63"/>
      <c r="I40" s="63"/>
      <c r="J40" s="63"/>
      <c r="K40" s="63"/>
    </row>
    <row r="41" spans="1:11" x14ac:dyDescent="0.3">
      <c r="A41" s="63"/>
      <c r="B41" s="63"/>
      <c r="C41" s="63"/>
      <c r="D41" s="63"/>
      <c r="E41" s="63"/>
      <c r="F41" s="63"/>
      <c r="G41" s="63"/>
      <c r="H41" s="63"/>
      <c r="I41" s="63"/>
      <c r="J41" s="63"/>
      <c r="K41" s="63"/>
    </row>
    <row r="42" spans="1:11" x14ac:dyDescent="0.3">
      <c r="A42" s="63"/>
      <c r="B42" s="63"/>
      <c r="C42" s="63"/>
      <c r="D42" s="63"/>
      <c r="E42" s="63"/>
      <c r="F42" s="63"/>
      <c r="G42" s="63"/>
      <c r="H42" s="63"/>
      <c r="I42" s="63"/>
      <c r="J42" s="63"/>
      <c r="K42" s="63"/>
    </row>
    <row r="43" spans="1:11" x14ac:dyDescent="0.3">
      <c r="A43" s="63"/>
      <c r="B43" s="63"/>
      <c r="C43" s="63"/>
      <c r="D43" s="63"/>
      <c r="E43" s="63"/>
      <c r="F43" s="63"/>
      <c r="G43" s="63"/>
      <c r="H43" s="63"/>
      <c r="I43" s="63"/>
      <c r="J43" s="63"/>
      <c r="K43" s="63"/>
    </row>
    <row r="44" spans="1:11" x14ac:dyDescent="0.3">
      <c r="A44" s="63"/>
      <c r="B44" s="63"/>
      <c r="C44" s="63"/>
      <c r="D44" s="63"/>
      <c r="E44" s="63"/>
      <c r="F44" s="63"/>
      <c r="G44" s="63"/>
      <c r="H44" s="63"/>
      <c r="I44" s="63"/>
      <c r="J44" s="63"/>
      <c r="K44" s="63"/>
    </row>
    <row r="45" spans="1:11" x14ac:dyDescent="0.3">
      <c r="A45" s="63"/>
      <c r="B45" s="63"/>
      <c r="C45" s="63"/>
      <c r="D45" s="63"/>
      <c r="E45" s="63"/>
      <c r="F45" s="63"/>
      <c r="G45" s="63"/>
      <c r="H45" s="63"/>
      <c r="I45" s="63"/>
      <c r="J45" s="63"/>
      <c r="K45" s="63"/>
    </row>
    <row r="46" spans="1:11" x14ac:dyDescent="0.3">
      <c r="A46" s="63"/>
      <c r="B46" s="63"/>
      <c r="C46" s="63"/>
      <c r="D46" s="63"/>
      <c r="E46" s="63"/>
      <c r="F46" s="63"/>
      <c r="G46" s="63"/>
      <c r="H46" s="63"/>
      <c r="I46" s="63"/>
      <c r="J46" s="63"/>
      <c r="K46" s="63"/>
    </row>
    <row r="47" spans="1:11" x14ac:dyDescent="0.3">
      <c r="A47" s="63"/>
      <c r="B47" s="63"/>
      <c r="C47" s="63"/>
      <c r="D47" s="63"/>
      <c r="E47" s="63"/>
      <c r="F47" s="63"/>
      <c r="G47" s="63"/>
      <c r="H47" s="63"/>
      <c r="I47" s="63"/>
      <c r="J47" s="63"/>
      <c r="K47" s="63"/>
    </row>
    <row r="48" spans="1:11" x14ac:dyDescent="0.3">
      <c r="A48" s="63"/>
      <c r="B48" s="63"/>
      <c r="C48" s="63"/>
      <c r="D48" s="63"/>
      <c r="E48" s="63"/>
      <c r="F48" s="63"/>
      <c r="G48" s="63"/>
      <c r="H48" s="63"/>
      <c r="I48" s="63"/>
      <c r="J48" s="63"/>
      <c r="K48" s="63"/>
    </row>
  </sheetData>
  <sheetProtection algorithmName="SHA-512" hashValue="uWPnCDYgaVLagHCduLHIzv7G1O6ICze0npyRXC21HgQQbj5DzyrL/f3iHibTu50rskueC1/hRRAIufAA3s3UTg==" saltValue="WqFGpOBeLcuJ+phK5zgEgQ==" spinCount="100000" sheet="1" objects="1" scenarios="1" selectLockedCells="1"/>
  <mergeCells count="17">
    <mergeCell ref="B5:J5"/>
    <mergeCell ref="B2:J3"/>
    <mergeCell ref="B4:J4"/>
    <mergeCell ref="B21:J21"/>
    <mergeCell ref="B22:J22"/>
    <mergeCell ref="B6:J6"/>
    <mergeCell ref="B7:J7"/>
    <mergeCell ref="B8:J8"/>
    <mergeCell ref="B23:J23"/>
    <mergeCell ref="B11:J11"/>
    <mergeCell ref="B12:J12"/>
    <mergeCell ref="B13:J13"/>
    <mergeCell ref="B14:J14"/>
    <mergeCell ref="B17:J17"/>
    <mergeCell ref="B18:J18"/>
    <mergeCell ref="B19:J19"/>
    <mergeCell ref="B20:J20"/>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896AE8-3F6A-4DED-B301-47A1CD7080FF}">
  <dimension ref="A1:K40"/>
  <sheetViews>
    <sheetView showGridLines="0" zoomScale="83" zoomScaleNormal="83" workbookViewId="0">
      <selection activeCell="P29" sqref="P29"/>
    </sheetView>
  </sheetViews>
  <sheetFormatPr defaultRowHeight="14.4" x14ac:dyDescent="0.3"/>
  <cols>
    <col min="5" max="5" width="9.77734375" customWidth="1"/>
    <col min="6" max="6" width="12.77734375" customWidth="1"/>
    <col min="7" max="7" width="10.5546875" customWidth="1"/>
    <col min="8" max="8" width="12.109375" customWidth="1"/>
    <col min="9" max="9" width="9.5546875" bestFit="1" customWidth="1"/>
  </cols>
  <sheetData>
    <row r="1" spans="1:11" x14ac:dyDescent="0.3">
      <c r="A1" s="67"/>
      <c r="B1" s="67"/>
      <c r="C1" s="67"/>
      <c r="D1" s="67"/>
      <c r="E1" s="67"/>
      <c r="F1" s="67"/>
      <c r="G1" s="67"/>
      <c r="H1" s="67"/>
      <c r="I1" s="67"/>
      <c r="J1" s="67"/>
      <c r="K1" s="67"/>
    </row>
    <row r="2" spans="1:11" x14ac:dyDescent="0.3">
      <c r="A2" s="67"/>
      <c r="B2" s="122" t="s">
        <v>767</v>
      </c>
      <c r="C2" s="119"/>
      <c r="D2" s="119"/>
      <c r="E2" s="119"/>
      <c r="F2" s="119"/>
      <c r="G2" s="119"/>
      <c r="H2" s="119"/>
      <c r="I2" s="119"/>
      <c r="J2" s="119"/>
      <c r="K2" s="67"/>
    </row>
    <row r="3" spans="1:11" x14ac:dyDescent="0.3">
      <c r="A3" s="67"/>
      <c r="B3" s="119"/>
      <c r="C3" s="119"/>
      <c r="D3" s="119"/>
      <c r="E3" s="119"/>
      <c r="F3" s="119"/>
      <c r="G3" s="119"/>
      <c r="H3" s="119"/>
      <c r="I3" s="119"/>
      <c r="J3" s="119"/>
      <c r="K3" s="67"/>
    </row>
    <row r="4" spans="1:11" x14ac:dyDescent="0.3">
      <c r="A4" s="67"/>
      <c r="B4" s="130" t="s">
        <v>0</v>
      </c>
      <c r="C4" s="130"/>
      <c r="D4" s="130"/>
      <c r="E4" s="129" t="s">
        <v>772</v>
      </c>
      <c r="F4" s="129"/>
      <c r="G4" s="130" t="s">
        <v>768</v>
      </c>
      <c r="H4" s="130"/>
      <c r="I4" s="129" t="s">
        <v>769</v>
      </c>
      <c r="J4" s="129"/>
      <c r="K4" s="67"/>
    </row>
    <row r="5" spans="1:11" x14ac:dyDescent="0.3">
      <c r="A5" s="67"/>
      <c r="B5" s="134" t="s">
        <v>770</v>
      </c>
      <c r="C5" s="134"/>
      <c r="D5" s="134"/>
      <c r="E5" s="100" t="s">
        <v>140</v>
      </c>
      <c r="F5" s="100"/>
      <c r="G5" s="131">
        <f>IF(Tube_DP!B4="","",
 Tube_DP!B4*
 VLOOKUP(E5,Unit_Control!D12:E15,2,FALSE)
)</f>
        <v>591.60747916265336</v>
      </c>
      <c r="H5" s="131"/>
      <c r="I5" s="132">
        <f>IF(Shell_DP!B8="","",
 Shell_DP!B8 *
 VLOOKUP(E5,Unit_Control!D12:E15,2,FALSE)
)</f>
        <v>543743.88149367017</v>
      </c>
      <c r="J5" s="132"/>
      <c r="K5" s="67"/>
    </row>
    <row r="6" spans="1:11" x14ac:dyDescent="0.3">
      <c r="A6" s="67"/>
      <c r="B6" s="134" t="s">
        <v>774</v>
      </c>
      <c r="C6" s="134"/>
      <c r="D6" s="134"/>
      <c r="E6" s="100" t="s">
        <v>140</v>
      </c>
      <c r="F6" s="100"/>
      <c r="G6" s="133">
        <f>IF(DP_Checks!C4="","",
 DP_Checks!C4*
 VLOOKUP(E6,Unit_Control!D12:E15,2,FALSE)
)</f>
        <v>10000</v>
      </c>
      <c r="H6" s="133"/>
      <c r="I6" s="132">
        <f>IF(Shell_DP!B38="","",
 Shell_DP!B38 *
 VLOOKUP(E6,Unit_Control!D12:E15,2,FALSE)
)</f>
        <v>10000</v>
      </c>
      <c r="J6" s="132"/>
      <c r="K6" s="67"/>
    </row>
    <row r="7" spans="1:11" x14ac:dyDescent="0.3">
      <c r="A7" s="67"/>
      <c r="B7" s="134" t="s">
        <v>771</v>
      </c>
      <c r="C7" s="134"/>
      <c r="D7" s="134"/>
      <c r="E7" s="100" t="str">
        <f>E6</f>
        <v>Pa</v>
      </c>
      <c r="F7" s="100"/>
      <c r="G7" s="137">
        <f>IF(OR(G5="",G6=""),"",
 G6 - G5
)</f>
        <v>9408.3925208373475</v>
      </c>
      <c r="H7" s="137"/>
      <c r="I7" s="137">
        <f>IF(OR(I5="",I6=""),"",
 I6 - I5
)</f>
        <v>-533743.88149367017</v>
      </c>
      <c r="J7" s="137"/>
      <c r="K7" s="67"/>
    </row>
    <row r="8" spans="1:11" x14ac:dyDescent="0.3">
      <c r="A8" s="67"/>
      <c r="B8" s="134" t="s">
        <v>93</v>
      </c>
      <c r="C8" s="134"/>
      <c r="D8" s="134"/>
      <c r="E8" s="100" t="s">
        <v>11</v>
      </c>
      <c r="F8" s="100"/>
      <c r="G8" s="138" t="str">
        <f>IF(OR(G5="",G6=""),"",
 IF(G5&lt;=G6,"OK","FAIL")
)</f>
        <v>OK</v>
      </c>
      <c r="H8" s="138"/>
      <c r="I8" s="138" t="str">
        <f>IF(OR(I5="",I6=""),"",
 IF(I5&lt;=I6,"OK","FAIL")
)</f>
        <v>FAIL</v>
      </c>
      <c r="J8" s="138"/>
      <c r="K8" s="67"/>
    </row>
    <row r="9" spans="1:11" x14ac:dyDescent="0.3">
      <c r="A9" s="67"/>
      <c r="B9" s="67"/>
      <c r="C9" s="67"/>
      <c r="D9" s="67"/>
      <c r="E9" s="67"/>
      <c r="F9" s="67"/>
      <c r="G9" s="67"/>
      <c r="H9" s="67"/>
      <c r="I9" s="67"/>
      <c r="J9" s="67"/>
      <c r="K9" s="67"/>
    </row>
    <row r="10" spans="1:11" x14ac:dyDescent="0.3">
      <c r="A10" s="67"/>
      <c r="B10" s="122" t="s">
        <v>775</v>
      </c>
      <c r="C10" s="119"/>
      <c r="D10" s="119"/>
      <c r="E10" s="119"/>
      <c r="F10" s="119"/>
      <c r="G10" s="119"/>
      <c r="H10" s="119"/>
      <c r="I10" s="119"/>
      <c r="J10" s="119"/>
      <c r="K10" s="67"/>
    </row>
    <row r="11" spans="1:11" x14ac:dyDescent="0.3">
      <c r="A11" s="67"/>
      <c r="B11" s="119"/>
      <c r="C11" s="119"/>
      <c r="D11" s="119"/>
      <c r="E11" s="119"/>
      <c r="F11" s="119"/>
      <c r="G11" s="119"/>
      <c r="H11" s="119"/>
      <c r="I11" s="119"/>
      <c r="J11" s="119"/>
      <c r="K11" s="67"/>
    </row>
    <row r="12" spans="1:11" x14ac:dyDescent="0.3">
      <c r="A12" s="67"/>
      <c r="B12" s="134" t="s">
        <v>779</v>
      </c>
      <c r="C12" s="134"/>
      <c r="D12" s="134"/>
      <c r="E12" s="134" t="str">
        <f>IF(Input_Form!G42&lt;&gt;"",
 "Governing basis: Process datasheet (client-specified limit)",
 "Governing basis: Engineering guideline based on fluid type"
)</f>
        <v>Governing basis: Process datasheet (client-specified limit)</v>
      </c>
      <c r="F12" s="134"/>
      <c r="G12" s="134"/>
      <c r="H12" s="134"/>
      <c r="I12" s="134"/>
      <c r="J12" s="134"/>
      <c r="K12" s="67"/>
    </row>
    <row r="13" spans="1:11" x14ac:dyDescent="0.3">
      <c r="A13" s="67"/>
      <c r="B13" s="134" t="s">
        <v>807</v>
      </c>
      <c r="C13" s="134"/>
      <c r="D13" s="134"/>
      <c r="E13" s="134" t="str">
        <f>IF(Input_Form!G43&lt;&gt;"",
 "Governing basis: Process datasheet (client-specified limit)",
 "Governing basis: Engineering guideline based on fluid type"
)</f>
        <v>Governing basis: Process datasheet (client-specified limit)</v>
      </c>
      <c r="F13" s="134"/>
      <c r="G13" s="134"/>
      <c r="H13" s="134"/>
      <c r="I13" s="134"/>
      <c r="J13" s="134"/>
      <c r="K13" s="67"/>
    </row>
    <row r="14" spans="1:11" x14ac:dyDescent="0.3">
      <c r="A14" s="67"/>
      <c r="B14" s="11"/>
      <c r="C14" s="11"/>
      <c r="D14" s="11"/>
      <c r="E14" s="11"/>
      <c r="F14" s="11"/>
      <c r="G14" s="11"/>
      <c r="H14" s="11"/>
      <c r="I14" s="11"/>
      <c r="J14" s="11"/>
      <c r="K14" s="67"/>
    </row>
    <row r="15" spans="1:11" x14ac:dyDescent="0.3">
      <c r="A15" s="67"/>
      <c r="B15" s="67"/>
      <c r="C15" s="67"/>
      <c r="D15" s="67"/>
      <c r="E15" s="67"/>
      <c r="F15" s="67"/>
      <c r="G15" s="67"/>
      <c r="H15" s="67"/>
      <c r="I15" s="67"/>
      <c r="J15" s="67"/>
      <c r="K15" s="67"/>
    </row>
    <row r="16" spans="1:11" x14ac:dyDescent="0.3">
      <c r="A16" s="67"/>
      <c r="B16" s="122" t="s">
        <v>815</v>
      </c>
      <c r="C16" s="119"/>
      <c r="D16" s="119"/>
      <c r="E16" s="119"/>
      <c r="F16" s="119"/>
      <c r="G16" s="119"/>
      <c r="H16" s="119"/>
      <c r="I16" s="119"/>
      <c r="J16" s="119"/>
      <c r="K16" s="67"/>
    </row>
    <row r="17" spans="1:11" ht="14.4" customHeight="1" x14ac:dyDescent="0.3">
      <c r="A17" s="67"/>
      <c r="B17" s="119"/>
      <c r="C17" s="119"/>
      <c r="D17" s="119"/>
      <c r="E17" s="119"/>
      <c r="F17" s="119"/>
      <c r="G17" s="119"/>
      <c r="H17" s="119"/>
      <c r="I17" s="119"/>
      <c r="J17" s="119"/>
      <c r="K17" s="67"/>
    </row>
    <row r="18" spans="1:11" ht="28.8" customHeight="1" x14ac:dyDescent="0.3">
      <c r="A18" s="67"/>
      <c r="B18" s="136" t="s">
        <v>0</v>
      </c>
      <c r="C18" s="136"/>
      <c r="D18" s="79" t="s">
        <v>772</v>
      </c>
      <c r="E18" s="79" t="s">
        <v>808</v>
      </c>
      <c r="F18" s="79" t="s">
        <v>816</v>
      </c>
      <c r="G18" s="79" t="s">
        <v>93</v>
      </c>
      <c r="H18" s="136" t="s">
        <v>817</v>
      </c>
      <c r="I18" s="136"/>
      <c r="J18" s="136"/>
      <c r="K18" s="67"/>
    </row>
    <row r="19" spans="1:11" ht="14.4" customHeight="1" x14ac:dyDescent="0.3">
      <c r="A19" s="67"/>
      <c r="B19" s="135" t="s">
        <v>818</v>
      </c>
      <c r="C19" s="135"/>
      <c r="D19" s="37" t="s">
        <v>812</v>
      </c>
      <c r="E19" s="77">
        <f>Shell_DP!B4</f>
        <v>120.93726379440665</v>
      </c>
      <c r="F19" s="24" t="s">
        <v>819</v>
      </c>
      <c r="G19" s="24" t="str">
        <f>IF(E19&lt;=100,"OK","REVIEW")</f>
        <v>REVIEW</v>
      </c>
      <c r="H19" s="135" t="s">
        <v>820</v>
      </c>
      <c r="I19" s="135"/>
      <c r="J19" s="135"/>
      <c r="K19" s="67"/>
    </row>
    <row r="20" spans="1:11" ht="14.4" customHeight="1" x14ac:dyDescent="0.3">
      <c r="A20" s="67"/>
      <c r="B20" s="135" t="s">
        <v>821</v>
      </c>
      <c r="C20" s="135"/>
      <c r="D20" s="37" t="s">
        <v>838</v>
      </c>
      <c r="E20" s="77">
        <f>Shell_DP!B3</f>
        <v>4.5937499999999999E-2</v>
      </c>
      <c r="F20" s="24" t="s">
        <v>822</v>
      </c>
      <c r="G20" s="24" t="str">
        <f>IF(E20&gt;=0.06,"OK","REVIEW")</f>
        <v>REVIEW</v>
      </c>
      <c r="H20" s="135" t="s">
        <v>823</v>
      </c>
      <c r="I20" s="135"/>
      <c r="J20" s="135"/>
      <c r="K20" s="67"/>
    </row>
    <row r="21" spans="1:11" ht="14.4" customHeight="1" x14ac:dyDescent="0.3">
      <c r="A21" s="67"/>
      <c r="B21" s="135" t="s">
        <v>824</v>
      </c>
      <c r="C21" s="135"/>
      <c r="D21" s="37" t="s">
        <v>6</v>
      </c>
      <c r="E21" s="77">
        <f>Shell_DP!B5</f>
        <v>2.7095449999999993E-2</v>
      </c>
      <c r="F21" s="24" t="s">
        <v>825</v>
      </c>
      <c r="G21" s="24" t="str">
        <f>IF(E21&gt;=0.03,"OK","REVIEW")</f>
        <v>REVIEW</v>
      </c>
      <c r="H21" s="135" t="s">
        <v>809</v>
      </c>
      <c r="I21" s="135"/>
      <c r="J21" s="135"/>
      <c r="K21" s="67"/>
    </row>
    <row r="22" spans="1:11" x14ac:dyDescent="0.3">
      <c r="A22" s="67"/>
      <c r="B22" s="135" t="s">
        <v>826</v>
      </c>
      <c r="C22" s="135"/>
      <c r="D22" s="37" t="s">
        <v>11</v>
      </c>
      <c r="E22" s="24">
        <f>Shell_DP!B18</f>
        <v>12</v>
      </c>
      <c r="F22" s="24" t="s">
        <v>827</v>
      </c>
      <c r="G22" s="24" t="str">
        <f>IF(E22&lt;=8,"OK","REVIEW")</f>
        <v>REVIEW</v>
      </c>
      <c r="H22" s="135" t="s">
        <v>828</v>
      </c>
      <c r="I22" s="135"/>
      <c r="J22" s="135"/>
      <c r="K22" s="67"/>
    </row>
    <row r="23" spans="1:11" x14ac:dyDescent="0.3">
      <c r="A23" s="67"/>
      <c r="B23" s="135" t="s">
        <v>829</v>
      </c>
      <c r="C23" s="135"/>
      <c r="D23" s="37" t="s">
        <v>11</v>
      </c>
      <c r="E23" s="77">
        <f>Shell_DP!B22</f>
        <v>0.77516571672769341</v>
      </c>
      <c r="F23" s="24" t="s">
        <v>830</v>
      </c>
      <c r="G23" s="24" t="str">
        <f>IF(E23&gt;=0.85,"OK","REVIEW")</f>
        <v>REVIEW</v>
      </c>
      <c r="H23" s="135" t="s">
        <v>831</v>
      </c>
      <c r="I23" s="135"/>
      <c r="J23" s="135"/>
      <c r="K23" s="67"/>
    </row>
    <row r="24" spans="1:11" x14ac:dyDescent="0.3">
      <c r="A24" s="67"/>
      <c r="B24" s="135" t="s">
        <v>832</v>
      </c>
      <c r="C24" s="135"/>
      <c r="D24" s="37" t="s">
        <v>11</v>
      </c>
      <c r="E24" s="77">
        <f>Shell_DP!B24</f>
        <v>0.60926847411847374</v>
      </c>
      <c r="F24" s="24" t="s">
        <v>833</v>
      </c>
      <c r="G24" s="24" t="str">
        <f>IF(E24&gt;=0.7,"OK","REVIEW")</f>
        <v>REVIEW</v>
      </c>
      <c r="H24" s="135" t="s">
        <v>810</v>
      </c>
      <c r="I24" s="135"/>
      <c r="J24" s="135"/>
      <c r="K24" s="67"/>
    </row>
    <row r="25" spans="1:11" x14ac:dyDescent="0.3">
      <c r="A25" s="67"/>
      <c r="B25" s="135" t="s">
        <v>834</v>
      </c>
      <c r="C25" s="135"/>
      <c r="D25" s="37" t="s">
        <v>765</v>
      </c>
      <c r="E25" s="78">
        <f>Shell_DP!B27</f>
        <v>11.513069318829624</v>
      </c>
      <c r="F25" s="24" t="s">
        <v>811</v>
      </c>
      <c r="G25" s="24" t="s">
        <v>814</v>
      </c>
      <c r="H25" s="135" t="s">
        <v>835</v>
      </c>
      <c r="I25" s="135"/>
      <c r="J25" s="135"/>
      <c r="K25" s="67"/>
    </row>
    <row r="26" spans="1:11" x14ac:dyDescent="0.3">
      <c r="A26" s="67"/>
      <c r="B26" s="135" t="s">
        <v>836</v>
      </c>
      <c r="C26" s="135"/>
      <c r="D26" s="37" t="s">
        <v>765</v>
      </c>
      <c r="E26" s="78">
        <f>Shell_DP!B9</f>
        <v>5.4374388149367014</v>
      </c>
      <c r="F26" s="24">
        <f>Shell_DP!B39</f>
        <v>1</v>
      </c>
      <c r="G26" s="24" t="str">
        <f>IF(E26&lt;=F26,"OK","FAIL")</f>
        <v>FAIL</v>
      </c>
      <c r="H26" s="135" t="s">
        <v>837</v>
      </c>
      <c r="I26" s="135"/>
      <c r="J26" s="135"/>
      <c r="K26" s="67"/>
    </row>
    <row r="27" spans="1:11" x14ac:dyDescent="0.3">
      <c r="A27" s="67"/>
      <c r="B27" s="11"/>
      <c r="C27" s="11"/>
      <c r="D27" s="11"/>
      <c r="F27" s="22"/>
      <c r="G27" s="11"/>
      <c r="H27" s="11"/>
      <c r="I27" s="11"/>
      <c r="J27" s="11"/>
      <c r="K27" s="67"/>
    </row>
    <row r="28" spans="1:11" ht="21.6" customHeight="1" x14ac:dyDescent="0.3">
      <c r="A28" s="67"/>
      <c r="B28" s="122" t="s">
        <v>839</v>
      </c>
      <c r="C28" s="119"/>
      <c r="D28" s="119"/>
      <c r="E28" s="119"/>
      <c r="F28" s="119"/>
      <c r="G28" s="119"/>
      <c r="H28" s="119"/>
      <c r="I28" s="119"/>
      <c r="J28" s="119"/>
      <c r="K28" s="67"/>
    </row>
    <row r="29" spans="1:11" x14ac:dyDescent="0.3">
      <c r="A29" s="67"/>
      <c r="B29" s="11"/>
      <c r="C29" s="134" t="str">
        <f>IF(E19&gt;100,"• High shell-side mass velocity","")</f>
        <v>• High shell-side mass velocity</v>
      </c>
      <c r="D29" s="134"/>
      <c r="E29" s="134"/>
      <c r="F29" s="134"/>
      <c r="G29" s="134"/>
      <c r="H29" s="134"/>
      <c r="I29" s="134"/>
      <c r="J29" s="11"/>
      <c r="K29" s="67"/>
    </row>
    <row r="30" spans="1:11" x14ac:dyDescent="0.3">
      <c r="A30" s="67"/>
      <c r="B30" s="11"/>
      <c r="C30" s="134" t="str">
        <f>IF(E20&lt;0.06,"• Limited cross-flow area","")</f>
        <v>• Limited cross-flow area</v>
      </c>
      <c r="D30" s="134"/>
      <c r="E30" s="134"/>
      <c r="F30" s="134"/>
      <c r="G30" s="134"/>
      <c r="H30" s="134"/>
      <c r="I30" s="134"/>
      <c r="J30" s="11"/>
      <c r="K30" s="67"/>
    </row>
    <row r="31" spans="1:11" x14ac:dyDescent="0.3">
      <c r="A31" s="67"/>
      <c r="B31" s="11"/>
      <c r="C31" s="134" t="str">
        <f>IF(E21&lt;0.03,"• Small equivalent diameter","")</f>
        <v>• Small equivalent diameter</v>
      </c>
      <c r="D31" s="134"/>
      <c r="E31" s="134"/>
      <c r="F31" s="134"/>
      <c r="G31" s="134"/>
      <c r="H31" s="134"/>
      <c r="I31" s="134"/>
      <c r="J31" s="11"/>
      <c r="K31" s="67"/>
    </row>
    <row r="32" spans="1:11" x14ac:dyDescent="0.3">
      <c r="A32" s="67"/>
      <c r="B32" s="11"/>
      <c r="C32" s="134" t="str">
        <f>IF(E22&gt;8,"• Excessive number of baffles","")</f>
        <v>• Excessive number of baffles</v>
      </c>
      <c r="D32" s="134"/>
      <c r="E32" s="134"/>
      <c r="F32" s="134"/>
      <c r="G32" s="134"/>
      <c r="H32" s="134"/>
      <c r="I32" s="134"/>
      <c r="J32" s="11"/>
      <c r="K32" s="67"/>
    </row>
    <row r="33" spans="1:11" x14ac:dyDescent="0.3">
      <c r="A33" s="67"/>
      <c r="B33" s="11"/>
      <c r="C33" s="134" t="str">
        <f>IF(E23&lt;0.85,"• High baffle / tube leakage","")</f>
        <v>• High baffle / tube leakage</v>
      </c>
      <c r="D33" s="134"/>
      <c r="E33" s="134"/>
      <c r="F33" s="134"/>
      <c r="G33" s="134"/>
      <c r="H33" s="134"/>
      <c r="I33" s="134"/>
      <c r="J33" s="11"/>
      <c r="K33" s="67"/>
    </row>
    <row r="34" spans="1:11" x14ac:dyDescent="0.3">
      <c r="A34" s="67"/>
      <c r="B34" s="11"/>
      <c r="C34" s="134" t="str">
        <f>IF(E24&lt;0.7,"• Significant bundle bypass","")</f>
        <v>• Significant bundle bypass</v>
      </c>
      <c r="D34" s="134"/>
      <c r="E34" s="134"/>
      <c r="F34" s="134"/>
      <c r="G34" s="134"/>
      <c r="H34" s="134"/>
      <c r="I34" s="134"/>
      <c r="J34" s="11"/>
      <c r="K34" s="67"/>
    </row>
    <row r="35" spans="1:11" x14ac:dyDescent="0.3">
      <c r="A35" s="67"/>
      <c r="B35" s="11"/>
      <c r="C35" s="11"/>
      <c r="D35" s="11"/>
      <c r="E35" s="11"/>
      <c r="F35" s="11"/>
      <c r="G35" s="11"/>
      <c r="H35" s="11"/>
      <c r="I35" s="11"/>
      <c r="J35" s="11"/>
      <c r="K35" s="67"/>
    </row>
    <row r="36" spans="1:11" x14ac:dyDescent="0.3">
      <c r="A36" s="67"/>
      <c r="B36" s="139" t="s">
        <v>840</v>
      </c>
      <c r="C36" s="139"/>
      <c r="D36" s="139"/>
      <c r="E36" s="81">
        <f>COUNTIF(G19:G26,"REVIEW")+COUNTIF(G19:G26,"FAIL")</f>
        <v>7</v>
      </c>
      <c r="F36" s="134" t="str">
        <f>IF(E36&lt;1,"• Shell-side hydraulics acceptable.","")</f>
        <v/>
      </c>
      <c r="G36" s="134"/>
      <c r="H36" s="134"/>
      <c r="I36" s="80"/>
      <c r="J36" s="81"/>
      <c r="K36" s="67"/>
    </row>
    <row r="37" spans="1:11" x14ac:dyDescent="0.3">
      <c r="A37" s="67"/>
      <c r="B37" s="11"/>
      <c r="C37" s="11"/>
      <c r="D37" s="11"/>
      <c r="F37" s="11"/>
      <c r="G37" s="11"/>
      <c r="H37" s="11"/>
      <c r="I37" s="11"/>
      <c r="J37" s="11"/>
      <c r="K37" s="67"/>
    </row>
    <row r="38" spans="1:11" x14ac:dyDescent="0.3">
      <c r="A38" s="67"/>
      <c r="B38" s="11"/>
      <c r="C38" s="11"/>
      <c r="D38" s="11"/>
      <c r="E38" s="11"/>
      <c r="F38" s="11"/>
      <c r="G38" s="11"/>
      <c r="H38" s="11"/>
      <c r="I38" s="11"/>
      <c r="J38" s="11"/>
      <c r="K38" s="67"/>
    </row>
    <row r="39" spans="1:11" x14ac:dyDescent="0.3">
      <c r="A39" s="67"/>
      <c r="B39" s="67"/>
      <c r="C39" s="67"/>
      <c r="D39" s="67"/>
      <c r="E39" s="67"/>
      <c r="F39" s="67"/>
      <c r="G39" s="67"/>
      <c r="H39" s="67"/>
      <c r="I39" s="67"/>
      <c r="J39" s="67"/>
      <c r="K39" s="67"/>
    </row>
    <row r="40" spans="1:11" x14ac:dyDescent="0.3">
      <c r="A40" s="67"/>
      <c r="B40" s="67"/>
      <c r="C40" s="67"/>
      <c r="D40" s="67"/>
      <c r="E40" s="67"/>
      <c r="F40" s="67"/>
      <c r="G40" s="67"/>
      <c r="H40" s="67"/>
      <c r="I40" s="67"/>
      <c r="J40" s="67"/>
      <c r="K40" s="67"/>
    </row>
  </sheetData>
  <sheetProtection algorithmName="SHA-512" hashValue="o3Rnacs4mnkOlxyi6YgWl0jadyIyDcUc9lhR+djhcwZcuaEa9dTZL9CrEk6LnFcp9NnGsqLt49yjhEDlcXYDgg==" saltValue="Yi7L8PAVRSK5+0ItYwRuCA==" spinCount="100000" sheet="1" objects="1" scenarios="1" selectLockedCells="1"/>
  <mergeCells count="54">
    <mergeCell ref="C34:I34"/>
    <mergeCell ref="B36:D36"/>
    <mergeCell ref="F36:H36"/>
    <mergeCell ref="B28:J28"/>
    <mergeCell ref="C29:I29"/>
    <mergeCell ref="C30:I30"/>
    <mergeCell ref="C31:I31"/>
    <mergeCell ref="C32:I32"/>
    <mergeCell ref="C33:I33"/>
    <mergeCell ref="H23:J23"/>
    <mergeCell ref="H24:J24"/>
    <mergeCell ref="H25:J25"/>
    <mergeCell ref="H26:J26"/>
    <mergeCell ref="B25:C25"/>
    <mergeCell ref="B26:C26"/>
    <mergeCell ref="B24:C24"/>
    <mergeCell ref="B19:C19"/>
    <mergeCell ref="B20:C20"/>
    <mergeCell ref="B21:C21"/>
    <mergeCell ref="B22:C22"/>
    <mergeCell ref="B23:C23"/>
    <mergeCell ref="H22:J22"/>
    <mergeCell ref="B18:C18"/>
    <mergeCell ref="B13:D13"/>
    <mergeCell ref="E13:J13"/>
    <mergeCell ref="G7:H7"/>
    <mergeCell ref="I7:J7"/>
    <mergeCell ref="G8:H8"/>
    <mergeCell ref="I8:J8"/>
    <mergeCell ref="B10:J11"/>
    <mergeCell ref="B12:D12"/>
    <mergeCell ref="E12:J12"/>
    <mergeCell ref="B16:J17"/>
    <mergeCell ref="H18:J18"/>
    <mergeCell ref="H19:J19"/>
    <mergeCell ref="H20:J20"/>
    <mergeCell ref="H21:J21"/>
    <mergeCell ref="E8:F8"/>
    <mergeCell ref="B4:D4"/>
    <mergeCell ref="B5:D5"/>
    <mergeCell ref="B6:D6"/>
    <mergeCell ref="B7:D7"/>
    <mergeCell ref="B8:D8"/>
    <mergeCell ref="B2:J3"/>
    <mergeCell ref="E4:F4"/>
    <mergeCell ref="E5:F5"/>
    <mergeCell ref="E6:F6"/>
    <mergeCell ref="E7:F7"/>
    <mergeCell ref="G4:H4"/>
    <mergeCell ref="I4:J4"/>
    <mergeCell ref="G5:H5"/>
    <mergeCell ref="I5:J5"/>
    <mergeCell ref="G6:H6"/>
    <mergeCell ref="I6:J6"/>
  </mergeCells>
  <conditionalFormatting sqref="F36:H36">
    <cfRule type="cellIs" dxfId="24" priority="1" operator="equal">
      <formula>"• Shell-side hydraulics acceptable."</formula>
    </cfRule>
  </conditionalFormatting>
  <conditionalFormatting sqref="G19:G24">
    <cfRule type="cellIs" dxfId="23" priority="6" operator="equal">
      <formula>"REVIEW"</formula>
    </cfRule>
    <cfRule type="cellIs" dxfId="22" priority="7" operator="equal">
      <formula>"OK"</formula>
    </cfRule>
  </conditionalFormatting>
  <conditionalFormatting sqref="G26">
    <cfRule type="cellIs" dxfId="21" priority="3" operator="equal">
      <formula>"FAIL"</formula>
    </cfRule>
    <cfRule type="cellIs" dxfId="20" priority="4" operator="equal">
      <formula>"REVIEW"</formula>
    </cfRule>
    <cfRule type="cellIs" dxfId="19" priority="5" operator="equal">
      <formula>"OK"</formula>
    </cfRule>
  </conditionalFormatting>
  <conditionalFormatting sqref="G8:J8">
    <cfRule type="cellIs" dxfId="18" priority="8" operator="equal">
      <formula>"FAIL"</formula>
    </cfRule>
    <cfRule type="cellIs" dxfId="17" priority="9" operator="equal">
      <formula>"OK"</formula>
    </cfRule>
  </conditionalFormatting>
  <pageMargins left="0.7" right="0.7" top="0.75" bottom="0.75" header="0.3" footer="0.3"/>
  <legacy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13BACDA-1CBC-4FD6-B72B-8A8F85A4BDC9}">
          <x14:formula1>
            <xm:f>Unit_Control!$D$4:$D$7</xm:f>
          </x14:formula1>
          <xm:sqref>E5:F6</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16"/>
  <sheetViews>
    <sheetView showGridLines="0" topLeftCell="A3" workbookViewId="0">
      <selection activeCell="A16" sqref="A16"/>
    </sheetView>
  </sheetViews>
  <sheetFormatPr defaultRowHeight="14.4" x14ac:dyDescent="0.3"/>
  <cols>
    <col min="1" max="1" width="140" customWidth="1"/>
  </cols>
  <sheetData>
    <row r="1" spans="1:1" ht="18" x14ac:dyDescent="0.35">
      <c r="A1" s="21" t="s">
        <v>110</v>
      </c>
    </row>
    <row r="3" spans="1:1" x14ac:dyDescent="0.3">
      <c r="A3" s="4" t="s">
        <v>111</v>
      </c>
    </row>
    <row r="4" spans="1:1" ht="57.6" x14ac:dyDescent="0.3">
      <c r="A4" s="5" t="s">
        <v>353</v>
      </c>
    </row>
    <row r="6" spans="1:1" x14ac:dyDescent="0.3">
      <c r="A6" s="4" t="s">
        <v>112</v>
      </c>
    </row>
    <row r="7" spans="1:1" ht="43.2" x14ac:dyDescent="0.3">
      <c r="A7" s="5" t="s">
        <v>113</v>
      </c>
    </row>
    <row r="9" spans="1:1" x14ac:dyDescent="0.3">
      <c r="A9" s="4" t="s">
        <v>114</v>
      </c>
    </row>
    <row r="10" spans="1:1" ht="43.2" x14ac:dyDescent="0.3">
      <c r="A10" s="5" t="s">
        <v>115</v>
      </c>
    </row>
    <row r="12" spans="1:1" x14ac:dyDescent="0.3">
      <c r="A12" t="s">
        <v>241</v>
      </c>
    </row>
    <row r="16" spans="1:1" ht="28.8" x14ac:dyDescent="0.3">
      <c r="A16" s="87" t="s">
        <v>898</v>
      </c>
    </row>
  </sheetData>
  <sheetProtection algorithmName="SHA-512" hashValue="/veA8XfEhgX1hKZ6WxGh9g88LdHEvOizp8sNSR/259QooTHDyRLZb1bOaz7iKWDIUV/yQfa4rKwMQBX9d+Ci1g==" saltValue="conOrm+gcDyUdz65npQn/g==" spinCount="100000" sheet="1" objects="1" scenarios="1" selectLockedCells="1"/>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2B6349-318E-4B61-A9AD-A4FD4F613C2B}">
  <dimension ref="A2:B13"/>
  <sheetViews>
    <sheetView workbookViewId="0">
      <selection activeCell="B13" sqref="B13"/>
    </sheetView>
  </sheetViews>
  <sheetFormatPr defaultRowHeight="14.4" x14ac:dyDescent="0.3"/>
  <cols>
    <col min="1" max="1" width="38.77734375" bestFit="1" customWidth="1"/>
  </cols>
  <sheetData>
    <row r="2" spans="1:2" ht="24" customHeight="1" x14ac:dyDescent="0.3">
      <c r="A2" t="s">
        <v>204</v>
      </c>
      <c r="B2" t="str">
        <f>IF(
OR(
AND(
OR(Input_Form!H9="kg/h",Input_Form!H9="kg/s"),
OR(Input_Form!H12="Btu/lb·°F",Input_Form!H12="Btu/lb·K")
),
AND(
OR(Input_Form!H9="lb/h",Input_Form!H9="lb/s"),
OR(Input_Form!H12="kJ/kg·K",Input_Form!H12="J/kg·K")
)
),
"WARNING: Flow and Cp units belong to different unit systems",
"OK"
)</f>
        <v>OK</v>
      </c>
    </row>
    <row r="3" spans="1:2" x14ac:dyDescent="0.3">
      <c r="A3" t="s">
        <v>205</v>
      </c>
      <c r="B3" t="str">
        <f>IF(ISBLANK(Input_Form!G42),"ERROR: Allowable ΔP base value missing","OK")</f>
        <v>OK</v>
      </c>
    </row>
    <row r="4" spans="1:2" x14ac:dyDescent="0.3">
      <c r="A4" t="s">
        <v>205</v>
      </c>
      <c r="B4" t="str">
        <f>IF(Input_Form!C42="","WARNING: Fouling resistance not defined","OK")</f>
        <v>OK</v>
      </c>
    </row>
    <row r="5" spans="1:2" x14ac:dyDescent="0.3">
      <c r="A5" t="s">
        <v>206</v>
      </c>
      <c r="B5" t="str">
        <f>IF(
OR(
AND(
OR(Input_Form!H20="kg/h",Input_Form!H20="kg/s"),
OR(Input_Form!H23="Btu/lb·°F",Input_Form!H23="Btu/lb·K")
),
AND(
OR(Input_Form!H20="lb/h",Input_Form!H20="lb/s"),
OR(Input_Form!H23="kJ/kg·K",Input_Form!H23="J/kg·K")
)
),
"WARNING: Flow and Cp units belong to different unit systems",
"OK"
)</f>
        <v>OK</v>
      </c>
    </row>
    <row r="6" spans="1:2" x14ac:dyDescent="0.3">
      <c r="A6" t="s">
        <v>207</v>
      </c>
      <c r="B6" t="str">
        <f>IF(
OR(Input_Form!I42="",Input_Form!I42=0),
"ERROR: Allowable ΔP value missing or zero",
IF(
Input_Form!H42="psi",
"WARNING: Imperial pressure unit selected – verify conversions",
"OK"
)
)</f>
        <v>OK</v>
      </c>
    </row>
    <row r="7" spans="1:2" x14ac:dyDescent="0.3">
      <c r="A7" t="s">
        <v>208</v>
      </c>
      <c r="B7" t="str">
        <f>IF(
OR(Input_Form!I43="",Input_Form!I43=0),
"ERROR: Allowable ΔP value missing or zero",
IF(
Input_Form!H43="psi",
"WARNING: Imperial pressure unit selected – verify conversions",
"OK"
)
)</f>
        <v>OK</v>
      </c>
    </row>
    <row r="8" spans="1:2" x14ac:dyDescent="0.3">
      <c r="A8" t="s">
        <v>209</v>
      </c>
      <c r="B8" t="str">
        <f>IF(
OR(
Input_Form!C42="",
Input_Form!C42=0,
Input_Form!C43="",
Input_Form!C43=0
),
"WARNING: Fouling resistance not fully defined (tube and/or shell)",
"OK"
)</f>
        <v>OK</v>
      </c>
    </row>
    <row r="13" spans="1:2" x14ac:dyDescent="0.3">
      <c r="B13" t="str">
        <f>IF(
COUNTIF(B2:B11,"ERROR*")&gt;0,
"ERROR",
IF(
COUNTIF(B2:B4,"WARNING*")&gt;0,
"WARNING",
"OK"
)
)</f>
        <v>OK</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89222D-6B28-4E00-B7FC-B0F0CE2D41EF}">
  <dimension ref="A2:Z27"/>
  <sheetViews>
    <sheetView workbookViewId="0">
      <selection activeCell="F16" sqref="F16"/>
    </sheetView>
  </sheetViews>
  <sheetFormatPr defaultRowHeight="14.4" x14ac:dyDescent="0.3"/>
  <cols>
    <col min="2" max="2" width="21.77734375" bestFit="1" customWidth="1"/>
    <col min="3" max="3" width="11.6640625" customWidth="1"/>
    <col min="4" max="4" width="12.33203125" customWidth="1"/>
    <col min="10" max="10" width="12.6640625" bestFit="1" customWidth="1"/>
    <col min="12" max="12" width="16.88671875" customWidth="1"/>
    <col min="22" max="22" width="11.77734375" customWidth="1"/>
    <col min="23" max="23" width="11.44140625" customWidth="1"/>
    <col min="25" max="25" width="14.109375" customWidth="1"/>
    <col min="26" max="26" width="12.5546875" customWidth="1"/>
  </cols>
  <sheetData>
    <row r="2" spans="1:26" s="25" customFormat="1" x14ac:dyDescent="0.3">
      <c r="A2" s="25" t="s">
        <v>157</v>
      </c>
      <c r="D2" s="25" t="s">
        <v>172</v>
      </c>
      <c r="G2" s="25" t="s">
        <v>173</v>
      </c>
      <c r="J2" s="25" t="s">
        <v>174</v>
      </c>
      <c r="M2" s="25" t="s">
        <v>20</v>
      </c>
      <c r="P2" s="25" t="s">
        <v>17</v>
      </c>
      <c r="S2" s="25" t="s">
        <v>197</v>
      </c>
      <c r="V2" s="25" t="s">
        <v>196</v>
      </c>
      <c r="Y2" s="25" t="s">
        <v>203</v>
      </c>
    </row>
    <row r="3" spans="1:26" x14ac:dyDescent="0.3">
      <c r="A3" s="22" t="s">
        <v>158</v>
      </c>
      <c r="B3" s="22" t="s">
        <v>159</v>
      </c>
      <c r="D3" t="s">
        <v>158</v>
      </c>
      <c r="E3" t="s">
        <v>163</v>
      </c>
      <c r="G3" t="s">
        <v>158</v>
      </c>
      <c r="H3" t="s">
        <v>166</v>
      </c>
      <c r="J3" t="s">
        <v>158</v>
      </c>
      <c r="K3" t="s">
        <v>169</v>
      </c>
      <c r="M3" t="s">
        <v>158</v>
      </c>
      <c r="N3" t="s">
        <v>175</v>
      </c>
      <c r="P3" t="s">
        <v>158</v>
      </c>
      <c r="Q3" t="s">
        <v>178</v>
      </c>
      <c r="S3" t="s">
        <v>158</v>
      </c>
      <c r="T3" t="s">
        <v>184</v>
      </c>
      <c r="V3" s="24" t="s">
        <v>158</v>
      </c>
      <c r="W3" s="24" t="s">
        <v>190</v>
      </c>
      <c r="Y3" s="24" t="s">
        <v>158</v>
      </c>
      <c r="Z3" s="24" t="s">
        <v>198</v>
      </c>
    </row>
    <row r="4" spans="1:26" x14ac:dyDescent="0.3">
      <c r="A4" s="22" t="s">
        <v>6</v>
      </c>
      <c r="B4" s="22">
        <v>1</v>
      </c>
      <c r="D4" t="s">
        <v>140</v>
      </c>
      <c r="E4">
        <v>1</v>
      </c>
      <c r="G4" t="s">
        <v>167</v>
      </c>
      <c r="H4">
        <v>1</v>
      </c>
      <c r="J4" t="s">
        <v>170</v>
      </c>
      <c r="K4">
        <v>1</v>
      </c>
      <c r="M4" t="s">
        <v>176</v>
      </c>
      <c r="N4">
        <v>1</v>
      </c>
      <c r="P4" t="s">
        <v>179</v>
      </c>
      <c r="Q4">
        <v>1</v>
      </c>
      <c r="S4" t="s">
        <v>185</v>
      </c>
      <c r="T4">
        <v>1</v>
      </c>
      <c r="V4" s="22" t="s">
        <v>191</v>
      </c>
      <c r="W4" s="22">
        <v>1</v>
      </c>
      <c r="Y4" s="22" t="s">
        <v>148</v>
      </c>
      <c r="Z4" s="22">
        <v>1</v>
      </c>
    </row>
    <row r="5" spans="1:26" x14ac:dyDescent="0.3">
      <c r="A5" s="22" t="s">
        <v>160</v>
      </c>
      <c r="B5" s="22">
        <v>1E-3</v>
      </c>
      <c r="D5" t="s">
        <v>164</v>
      </c>
      <c r="E5">
        <v>1000</v>
      </c>
      <c r="G5" t="s">
        <v>16</v>
      </c>
      <c r="H5" s="23">
        <f>1/3600</f>
        <v>2.7777777777777778E-4</v>
      </c>
      <c r="J5" t="s">
        <v>171</v>
      </c>
      <c r="K5">
        <v>9.2902999999999999E-2</v>
      </c>
      <c r="M5" t="s">
        <v>177</v>
      </c>
      <c r="N5">
        <v>1E-3</v>
      </c>
      <c r="P5" t="s">
        <v>180</v>
      </c>
      <c r="Q5">
        <v>1000</v>
      </c>
      <c r="S5" t="s">
        <v>186</v>
      </c>
      <c r="T5">
        <v>1000</v>
      </c>
      <c r="V5" s="22" t="s">
        <v>192</v>
      </c>
      <c r="W5" s="22">
        <v>1</v>
      </c>
      <c r="Y5" s="22" t="s">
        <v>199</v>
      </c>
      <c r="Z5" s="22">
        <v>1</v>
      </c>
    </row>
    <row r="6" spans="1:26" x14ac:dyDescent="0.3">
      <c r="A6" s="22" t="s">
        <v>161</v>
      </c>
      <c r="B6" s="22">
        <v>2.5399999999999999E-2</v>
      </c>
      <c r="D6" t="s">
        <v>154</v>
      </c>
      <c r="E6">
        <v>100000</v>
      </c>
      <c r="G6" t="s">
        <v>168</v>
      </c>
      <c r="H6">
        <v>1.25998E-4</v>
      </c>
      <c r="S6" t="s">
        <v>187</v>
      </c>
      <c r="T6">
        <v>4186</v>
      </c>
      <c r="V6" s="22" t="s">
        <v>193</v>
      </c>
      <c r="W6" s="22">
        <v>1.163</v>
      </c>
      <c r="Y6" s="22" t="s">
        <v>200</v>
      </c>
      <c r="Z6" s="22">
        <v>1.163</v>
      </c>
    </row>
    <row r="7" spans="1:26" x14ac:dyDescent="0.3">
      <c r="A7" s="22" t="s">
        <v>162</v>
      </c>
      <c r="B7" s="22">
        <v>0.30480000000000002</v>
      </c>
      <c r="D7" t="s">
        <v>165</v>
      </c>
      <c r="E7">
        <v>6894.76</v>
      </c>
      <c r="S7" t="s">
        <v>188</v>
      </c>
      <c r="T7">
        <v>4186</v>
      </c>
      <c r="V7" s="22" t="s">
        <v>194</v>
      </c>
      <c r="W7" s="22">
        <v>1.163</v>
      </c>
      <c r="Y7" s="22" t="s">
        <v>201</v>
      </c>
      <c r="Z7" s="22">
        <v>1.163</v>
      </c>
    </row>
    <row r="8" spans="1:26" x14ac:dyDescent="0.3">
      <c r="S8" t="s">
        <v>189</v>
      </c>
      <c r="T8">
        <v>4186.8</v>
      </c>
      <c r="V8" s="22" t="s">
        <v>195</v>
      </c>
      <c r="W8" s="22">
        <v>1.7306999999999999</v>
      </c>
      <c r="Y8" s="22" t="s">
        <v>202</v>
      </c>
      <c r="Z8" s="22">
        <v>5.6779999999999999</v>
      </c>
    </row>
    <row r="11" spans="1:26" ht="28.8" x14ac:dyDescent="0.3">
      <c r="D11" s="35" t="s">
        <v>158</v>
      </c>
      <c r="E11" s="35" t="s">
        <v>773</v>
      </c>
    </row>
    <row r="12" spans="1:26" x14ac:dyDescent="0.3">
      <c r="D12" s="22" t="s">
        <v>140</v>
      </c>
      <c r="E12" s="22">
        <v>1</v>
      </c>
    </row>
    <row r="13" spans="1:26" x14ac:dyDescent="0.3">
      <c r="D13" s="22" t="s">
        <v>164</v>
      </c>
      <c r="E13" s="22">
        <v>1E-3</v>
      </c>
    </row>
    <row r="14" spans="1:26" x14ac:dyDescent="0.3">
      <c r="D14" s="22" t="s">
        <v>154</v>
      </c>
      <c r="E14" s="22">
        <v>1.0000000000000001E-5</v>
      </c>
    </row>
    <row r="15" spans="1:26" x14ac:dyDescent="0.3">
      <c r="D15" s="22" t="s">
        <v>165</v>
      </c>
      <c r="E15" s="22">
        <v>1.45038E-4</v>
      </c>
    </row>
    <row r="20" spans="2:4" x14ac:dyDescent="0.3">
      <c r="B20" s="25" t="s">
        <v>331</v>
      </c>
    </row>
    <row r="22" spans="2:4" x14ac:dyDescent="0.3">
      <c r="B22" s="35" t="s">
        <v>0</v>
      </c>
      <c r="C22" s="35" t="s">
        <v>96</v>
      </c>
      <c r="D22" s="35" t="s">
        <v>87</v>
      </c>
    </row>
    <row r="23" spans="2:4" ht="28.8" x14ac:dyDescent="0.3">
      <c r="B23" s="22" t="s">
        <v>332</v>
      </c>
      <c r="C23" s="24">
        <f>IF(
AND(Input_Form!C34&lt;&gt;"",Input_Form!C35&lt;&gt;""),
(Input_Form!C34 + Input_Form!C35)/2,
""
)</f>
        <v>80</v>
      </c>
      <c r="D23" s="22" t="s">
        <v>330</v>
      </c>
    </row>
    <row r="24" spans="2:4" ht="28.8" x14ac:dyDescent="0.3">
      <c r="B24" s="22" t="s">
        <v>333</v>
      </c>
      <c r="C24" s="24">
        <f>IF(
AND(Input_Form!C36&lt;&gt;"",Input_Form!C37&lt;&gt;""),
(Input_Form!C36 + Input_Form!C37)/2,
""
)</f>
        <v>80</v>
      </c>
      <c r="D24" s="22" t="s">
        <v>330</v>
      </c>
    </row>
    <row r="26" spans="2:4" ht="28.8" x14ac:dyDescent="0.3">
      <c r="B26" s="36" t="s">
        <v>334</v>
      </c>
      <c r="C26" s="37">
        <f>IF(Input_Form!C16=1, C23, 25)</f>
        <v>80</v>
      </c>
      <c r="D26" s="22" t="s">
        <v>330</v>
      </c>
    </row>
    <row r="27" spans="2:4" ht="28.8" x14ac:dyDescent="0.3">
      <c r="B27" s="36" t="s">
        <v>335</v>
      </c>
      <c r="C27" s="37">
        <f>IF(Input_Form!C16=1, C24, 25)</f>
        <v>80</v>
      </c>
      <c r="D27" s="22" t="s">
        <v>330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0"/>
  <sheetViews>
    <sheetView workbookViewId="0"/>
  </sheetViews>
  <sheetFormatPr defaultRowHeight="14.4" x14ac:dyDescent="0.3"/>
  <cols>
    <col min="1" max="1" width="18.21875" bestFit="1" customWidth="1"/>
  </cols>
  <sheetData>
    <row r="1" spans="1:4" x14ac:dyDescent="0.3">
      <c r="A1" t="s">
        <v>0</v>
      </c>
      <c r="B1" t="s">
        <v>1</v>
      </c>
      <c r="C1" t="s">
        <v>2</v>
      </c>
      <c r="D1" t="s">
        <v>3</v>
      </c>
    </row>
    <row r="2" spans="1:4" x14ac:dyDescent="0.3">
      <c r="A2" t="s">
        <v>4</v>
      </c>
      <c r="B2" t="s">
        <v>5</v>
      </c>
      <c r="C2" s="1">
        <f>Input_Form!E9</f>
        <v>1.9049999999999997E-2</v>
      </c>
      <c r="D2" t="s">
        <v>6</v>
      </c>
    </row>
    <row r="3" spans="1:4" x14ac:dyDescent="0.3">
      <c r="A3" t="s">
        <v>7</v>
      </c>
      <c r="B3" t="s">
        <v>8</v>
      </c>
      <c r="C3" s="1">
        <f>Input_Form!E10</f>
        <v>5</v>
      </c>
      <c r="D3" t="s">
        <v>6</v>
      </c>
    </row>
    <row r="4" spans="1:4" x14ac:dyDescent="0.3">
      <c r="A4" t="s">
        <v>9</v>
      </c>
      <c r="B4" t="s">
        <v>10</v>
      </c>
      <c r="C4" s="1">
        <f>Input_Form!C11</f>
        <v>100</v>
      </c>
      <c r="D4" t="s">
        <v>11</v>
      </c>
    </row>
    <row r="5" spans="1:4" x14ac:dyDescent="0.3">
      <c r="A5" t="s">
        <v>12</v>
      </c>
      <c r="B5" t="s">
        <v>13</v>
      </c>
      <c r="C5" s="1">
        <f>Input_Form!C12</f>
        <v>2</v>
      </c>
      <c r="D5" t="s">
        <v>11</v>
      </c>
    </row>
    <row r="6" spans="1:4" x14ac:dyDescent="0.3">
      <c r="A6" t="s">
        <v>14</v>
      </c>
      <c r="B6" t="s">
        <v>15</v>
      </c>
      <c r="C6" s="1">
        <f>Input_Form!I9</f>
        <v>5.5555555555555554</v>
      </c>
      <c r="D6" t="s">
        <v>182</v>
      </c>
    </row>
    <row r="7" spans="1:4" x14ac:dyDescent="0.3">
      <c r="A7" t="s">
        <v>17</v>
      </c>
      <c r="B7" t="s">
        <v>18</v>
      </c>
      <c r="C7" s="1">
        <f>IF(
 Input_Form!C16=1,
 VLOOKUP(Input_Form!C8, Chemical_Properties!A:I, 2, FALSE)
 * (1 - VLOOKUP(Input_Form!C8, Chemical_Properties!A:I, 6, FALSE)
    * (Unit_Control!C26 - 25)
   ),
 VLOOKUP(Input_Form!C8, Chemical_Properties!A:I, 2, FALSE)
)</f>
        <v>1003.69125</v>
      </c>
      <c r="D7" t="s">
        <v>19</v>
      </c>
    </row>
    <row r="8" spans="1:4" x14ac:dyDescent="0.3">
      <c r="A8" t="s">
        <v>20</v>
      </c>
      <c r="B8" t="s">
        <v>21</v>
      </c>
      <c r="C8" s="1">
        <f>IF(
 Input_Form!C16=1,
 VLOOKUP(Input_Form!C8, Chemical_Properties!A:I, 3, FALSE)
 * EXP(
     VLOOKUP(Input_Form!C8, Chemical_Properties!A:I, 7, FALSE)
     * (1/(Unit_Control!C26+273.15) - 1/298.15)
   ),
 VLOOKUP(Input_Form!C8, Chemical_Properties!A:I, 3, FALSE)
)</f>
        <v>4.6821805113700359E-3</v>
      </c>
      <c r="D8" t="s">
        <v>22</v>
      </c>
    </row>
    <row r="9" spans="1:4" x14ac:dyDescent="0.3">
      <c r="A9" t="s">
        <v>23</v>
      </c>
      <c r="B9" t="s">
        <v>24</v>
      </c>
      <c r="C9" s="1">
        <f>IF(
 Input_Form!C16=1,
 VLOOKUP(Input_Form!C8, Chemical_Properties!A:I, 4, FALSE)
 * (1 + VLOOKUP(Input_Form!C8, Chemical_Properties!A:I, 8, FALSE)
    * (Unit_Control!C26 - 25)
   ),
 VLOOKUP(Input_Form!C8, Chemical_Properties!A:I, 4, FALSE)
)</f>
        <v>2433</v>
      </c>
      <c r="D9" t="s">
        <v>25</v>
      </c>
    </row>
    <row r="10" spans="1:4" x14ac:dyDescent="0.3">
      <c r="A10" t="s">
        <v>26</v>
      </c>
      <c r="B10" t="s">
        <v>27</v>
      </c>
      <c r="C10" s="38">
        <f>IF(
 Input_Form!C16=1,
 VLOOKUP(Input_Form!C8, Chemical_Properties!A:I, 5, FALSE)
 * (1 - VLOOKUP(Input_Form!C8, Chemical_Properties!A:I, 9, FALSE)
    * (Unit_Control!C26 - 25)
   ),
 VLOOKUP(Input_Form!C8, Chemical_Properties!A:I, 5, FALSE)
)</f>
        <v>0.20768999999999999</v>
      </c>
      <c r="D10" t="s">
        <v>28</v>
      </c>
    </row>
  </sheetData>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16"/>
  <sheetViews>
    <sheetView workbookViewId="0">
      <selection activeCell="C5" sqref="C5"/>
    </sheetView>
  </sheetViews>
  <sheetFormatPr defaultRowHeight="14.4" x14ac:dyDescent="0.3"/>
  <cols>
    <col min="1" max="1" width="19.44140625" bestFit="1" customWidth="1"/>
  </cols>
  <sheetData>
    <row r="1" spans="1:4" x14ac:dyDescent="0.3">
      <c r="A1" t="s">
        <v>0</v>
      </c>
      <c r="B1" t="s">
        <v>1</v>
      </c>
      <c r="C1" t="s">
        <v>2</v>
      </c>
      <c r="D1" t="s">
        <v>3</v>
      </c>
    </row>
    <row r="2" spans="1:4" x14ac:dyDescent="0.3">
      <c r="A2" t="s">
        <v>44</v>
      </c>
      <c r="B2" t="s">
        <v>45</v>
      </c>
      <c r="C2" s="1">
        <f>Input_Form!E20</f>
        <v>0.6</v>
      </c>
      <c r="D2" t="s">
        <v>6</v>
      </c>
    </row>
    <row r="3" spans="1:4" x14ac:dyDescent="0.3">
      <c r="A3" t="s">
        <v>46</v>
      </c>
      <c r="B3" t="s">
        <v>47</v>
      </c>
      <c r="C3" s="1">
        <f>Input_Form!E21</f>
        <v>2.5000000000000001E-2</v>
      </c>
      <c r="D3" t="s">
        <v>6</v>
      </c>
    </row>
    <row r="4" spans="1:4" x14ac:dyDescent="0.3">
      <c r="A4" t="s">
        <v>48</v>
      </c>
      <c r="B4" t="s">
        <v>49</v>
      </c>
      <c r="C4" s="1">
        <f>Input_Form!E22</f>
        <v>3.2000000000000001E-2</v>
      </c>
      <c r="D4" t="s">
        <v>6</v>
      </c>
    </row>
    <row r="5" spans="1:4" x14ac:dyDescent="0.3">
      <c r="A5" t="s">
        <v>50</v>
      </c>
      <c r="B5" t="s">
        <v>51</v>
      </c>
      <c r="C5" s="1">
        <f>Input_Form!E23</f>
        <v>0.35000000000000003</v>
      </c>
      <c r="D5" t="s">
        <v>6</v>
      </c>
    </row>
    <row r="6" spans="1:4" x14ac:dyDescent="0.3">
      <c r="A6" t="s">
        <v>52</v>
      </c>
      <c r="B6" t="s">
        <v>53</v>
      </c>
      <c r="C6" s="1">
        <f>Input_Form!I20</f>
        <v>5.5555555555555554</v>
      </c>
      <c r="D6" t="s">
        <v>167</v>
      </c>
    </row>
    <row r="7" spans="1:4" x14ac:dyDescent="0.3">
      <c r="A7" t="s">
        <v>17</v>
      </c>
      <c r="B7" t="s">
        <v>54</v>
      </c>
      <c r="C7" s="1">
        <f>IF(
 Input_Form!C16=1,
 VLOOKUP(Input_Form!C19, Chemical_Properties!A:I, 2, FALSE)
 * (1 - VLOOKUP(Input_Form!C19, Chemical_Properties!A:I, 6, FALSE)
    * (Unit_Control!C27 - 25)
   ),
 VLOOKUP(Input_Form!C19, Chemical_Properties!A:I, 2, FALSE)
)</f>
        <v>981.53300000000002</v>
      </c>
      <c r="D7" t="s">
        <v>19</v>
      </c>
    </row>
    <row r="8" spans="1:4" x14ac:dyDescent="0.3">
      <c r="A8" t="s">
        <v>20</v>
      </c>
      <c r="B8" t="s">
        <v>55</v>
      </c>
      <c r="C8" s="1">
        <f>IF(
 Input_Form!C16=1,
 VLOOKUP(Input_Form!C19, Chemical_Properties!A:I, 3, FALSE)
 * EXP(
     VLOOKUP(Input_Form!C19, Chemical_Properties!A:I, 7, FALSE)
     * (1/(Unit_Control!C27+273.15) - 1/298.15)
   ),
 VLOOKUP(Input_Form!C19, Chemical_Properties!A:I, 3, FALSE)
)</f>
        <v>5.3428268963759721E-4</v>
      </c>
      <c r="D8" t="s">
        <v>22</v>
      </c>
    </row>
    <row r="9" spans="1:4" x14ac:dyDescent="0.3">
      <c r="A9" t="s">
        <v>23</v>
      </c>
      <c r="B9" t="s">
        <v>56</v>
      </c>
      <c r="C9" s="1">
        <f>IF(
 Input_Form!C16=1,
 VLOOKUP(Input_Form!C19, Chemical_Properties!A:I, 4, FALSE)
 * (1 + VLOOKUP(Input_Form!C19, Chemical_Properties!A:I, 8, FALSE)
    * (Unit_Control!C27 - 25)
   ),
 VLOOKUP(Input_Form!C19, Chemical_Properties!A:I, 4, FALSE)
)</f>
        <v>4202.9900000000007</v>
      </c>
      <c r="D9" t="s">
        <v>25</v>
      </c>
    </row>
    <row r="10" spans="1:4" x14ac:dyDescent="0.3">
      <c r="A10" t="s">
        <v>26</v>
      </c>
      <c r="B10" t="s">
        <v>57</v>
      </c>
      <c r="C10" s="1">
        <f>IF(
 Input_Form!C16=1,
 VLOOKUP(Input_Form!C19, Chemical_Properties!A:I, 5, FALSE)
 * (1 - VLOOKUP(Input_Form!C19, Chemical_Properties!A:I, 9, FALSE)
    * (Unit_Control!C27 - 25)
   ),
 VLOOKUP(Input_Form!C19, Chemical_Properties!A:I, 5, FALSE)
)</f>
        <v>0.59339999999999993</v>
      </c>
      <c r="D10" t="s">
        <v>28</v>
      </c>
    </row>
    <row r="11" spans="1:4" x14ac:dyDescent="0.3">
      <c r="A11" t="s">
        <v>58</v>
      </c>
      <c r="B11" t="s">
        <v>59</v>
      </c>
      <c r="C11" s="1">
        <f>Shell_HT!B13</f>
        <v>9.6252463008937627E-4</v>
      </c>
      <c r="D11" t="s">
        <v>11</v>
      </c>
    </row>
    <row r="12" spans="1:4" x14ac:dyDescent="0.3">
      <c r="A12" t="s">
        <v>60</v>
      </c>
      <c r="B12" t="s">
        <v>60</v>
      </c>
      <c r="C12" s="1">
        <f>Shell_HT!B20</f>
        <v>0.76600000000000001</v>
      </c>
      <c r="D12" t="s">
        <v>11</v>
      </c>
    </row>
    <row r="13" spans="1:4" x14ac:dyDescent="0.3">
      <c r="A13" t="s">
        <v>61</v>
      </c>
      <c r="B13" t="s">
        <v>61</v>
      </c>
      <c r="C13" s="38">
        <f>Shell_HT!B30</f>
        <v>0.77516571672769341</v>
      </c>
      <c r="D13" t="s">
        <v>11</v>
      </c>
    </row>
    <row r="14" spans="1:4" x14ac:dyDescent="0.3">
      <c r="A14" t="s">
        <v>62</v>
      </c>
      <c r="B14" t="s">
        <v>62</v>
      </c>
      <c r="C14" s="38">
        <f>Shell_HT!B37</f>
        <v>0.7</v>
      </c>
      <c r="D14" t="s">
        <v>11</v>
      </c>
    </row>
    <row r="15" spans="1:4" x14ac:dyDescent="0.3">
      <c r="A15" t="s">
        <v>63</v>
      </c>
      <c r="B15" t="s">
        <v>63</v>
      </c>
      <c r="C15" s="1">
        <f>Shell_HT!B50</f>
        <v>1</v>
      </c>
      <c r="D15" t="s">
        <v>11</v>
      </c>
    </row>
    <row r="16" spans="1:4" x14ac:dyDescent="0.3">
      <c r="A16" t="s">
        <v>64</v>
      </c>
      <c r="B16" t="s">
        <v>64</v>
      </c>
      <c r="C16" s="1">
        <f>Shell_HT!B58</f>
        <v>1</v>
      </c>
      <c r="D16" t="s">
        <v>11</v>
      </c>
    </row>
  </sheetData>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P72"/>
  <sheetViews>
    <sheetView topLeftCell="C15" workbookViewId="0">
      <selection activeCell="P28" sqref="P28"/>
    </sheetView>
  </sheetViews>
  <sheetFormatPr defaultRowHeight="14.4" x14ac:dyDescent="0.3"/>
  <cols>
    <col min="1" max="1" width="38" bestFit="1" customWidth="1"/>
    <col min="2" max="2" width="14.21875" customWidth="1"/>
    <col min="7" max="7" width="9.5546875" bestFit="1" customWidth="1"/>
    <col min="9" max="9" width="13.77734375" bestFit="1" customWidth="1"/>
    <col min="10" max="10" width="14.88671875" customWidth="1"/>
    <col min="11" max="11" width="25.6640625" bestFit="1" customWidth="1"/>
    <col min="12" max="12" width="17.6640625" customWidth="1"/>
  </cols>
  <sheetData>
    <row r="1" spans="1:14" x14ac:dyDescent="0.3">
      <c r="A1" t="s">
        <v>29</v>
      </c>
      <c r="B1" t="s">
        <v>91</v>
      </c>
      <c r="C1" t="s">
        <v>96</v>
      </c>
    </row>
    <row r="2" spans="1:14" ht="18" x14ac:dyDescent="0.35">
      <c r="A2" t="s">
        <v>31</v>
      </c>
      <c r="B2">
        <f>Shell_Inputs!C6</f>
        <v>5.5555555555555554</v>
      </c>
      <c r="C2" t="s">
        <v>65</v>
      </c>
      <c r="J2" s="60" t="s">
        <v>663</v>
      </c>
    </row>
    <row r="3" spans="1:14" x14ac:dyDescent="0.3">
      <c r="A3" t="s">
        <v>103</v>
      </c>
      <c r="B3">
        <f>Shell_Inputs!C2*(Shell_Inputs!C4-Shell_Inputs!C3)/Shell_Inputs!C4*Shell_Inputs!C5</f>
        <v>4.5937499999999999E-2</v>
      </c>
      <c r="C3" t="s">
        <v>67</v>
      </c>
    </row>
    <row r="4" spans="1:14" x14ac:dyDescent="0.3">
      <c r="A4" t="s">
        <v>104</v>
      </c>
      <c r="B4">
        <f>B2/B3</f>
        <v>120.93726379440665</v>
      </c>
      <c r="C4" t="s">
        <v>69</v>
      </c>
      <c r="I4" t="s">
        <v>671</v>
      </c>
      <c r="J4" s="37" t="str">
        <f>IF(B4&gt;800,"HIGH_GS","OK")</f>
        <v>OK</v>
      </c>
      <c r="K4" t="s">
        <v>664</v>
      </c>
      <c r="L4" t="s">
        <v>665</v>
      </c>
      <c r="M4" t="s">
        <v>666</v>
      </c>
      <c r="N4" t="s">
        <v>667</v>
      </c>
    </row>
    <row r="5" spans="1:14" x14ac:dyDescent="0.3">
      <c r="A5" t="s">
        <v>105</v>
      </c>
      <c r="B5">
        <f>1.27*(Shell_Inputs!C4^2-0.785*(Shell_Inputs!C3^2))/Shell_Inputs!C3</f>
        <v>2.7095449999999993E-2</v>
      </c>
      <c r="C5" t="s">
        <v>106</v>
      </c>
      <c r="I5" t="s">
        <v>672</v>
      </c>
      <c r="J5" s="37" t="str">
        <f>IF(Shell_Inputs!C5/Shell_Inputs!C2&lt;0.3,"TIGHT_BAFFLES","OK")</f>
        <v>OK</v>
      </c>
      <c r="K5" t="s">
        <v>668</v>
      </c>
      <c r="L5" t="s">
        <v>669</v>
      </c>
      <c r="M5" t="s">
        <v>670</v>
      </c>
    </row>
    <row r="6" spans="1:14" x14ac:dyDescent="0.3">
      <c r="A6" t="s">
        <v>107</v>
      </c>
      <c r="B6">
        <f>0.2*(B4^2/(2*Shell_Inputs!C7))*(Shell_Inputs!C4/B5)</f>
        <v>1.7598229681962505</v>
      </c>
      <c r="C6" t="s">
        <v>108</v>
      </c>
      <c r="I6" t="s">
        <v>676</v>
      </c>
      <c r="J6" s="37" t="str">
        <f>IF(B18&gt;10,"HIGH_Ncf","OK")</f>
        <v>HIGH_Ncf</v>
      </c>
      <c r="K6" t="s">
        <v>673</v>
      </c>
      <c r="L6" t="s">
        <v>666</v>
      </c>
      <c r="M6" t="s">
        <v>674</v>
      </c>
      <c r="N6" t="s">
        <v>675</v>
      </c>
    </row>
    <row r="7" spans="1:14" x14ac:dyDescent="0.3">
      <c r="A7" t="s">
        <v>654</v>
      </c>
      <c r="B7" s="39">
        <f>IF(AND(Input_Form!C10&lt;&gt;"",Shell_Inputs!C5&lt;&gt;""),
 INT(Input_Form!C10/Shell_Inputs!C5) - 1,
 "")</f>
        <v>13</v>
      </c>
      <c r="I7" t="s">
        <v>409</v>
      </c>
      <c r="J7" s="37" t="str">
        <f>IF(Shell_Inputs!C4/Shell_Inputs!C3&lt;1.25,"TIGHT_PITCH","OK")</f>
        <v>OK</v>
      </c>
      <c r="K7" t="s">
        <v>677</v>
      </c>
      <c r="L7" t="s">
        <v>678</v>
      </c>
      <c r="M7" t="s">
        <v>679</v>
      </c>
    </row>
    <row r="8" spans="1:14" x14ac:dyDescent="0.3">
      <c r="A8" t="s">
        <v>109</v>
      </c>
      <c r="B8">
        <f>(B17 + B20) * B22 * B24</f>
        <v>543743.88149367017</v>
      </c>
      <c r="C8" t="s">
        <v>140</v>
      </c>
      <c r="I8" t="s">
        <v>680</v>
      </c>
      <c r="J8" s="37" t="str">
        <f>IF(Shell_HT!B35&gt;0.25,"HIGH_BYPASS","OK")</f>
        <v>HIGH_BYPASS</v>
      </c>
      <c r="K8" t="s">
        <v>681</v>
      </c>
      <c r="L8" t="s">
        <v>682</v>
      </c>
      <c r="M8" t="s">
        <v>683</v>
      </c>
    </row>
    <row r="9" spans="1:14" x14ac:dyDescent="0.3">
      <c r="B9">
        <f>B8/100000</f>
        <v>5.4374388149367014</v>
      </c>
      <c r="C9" t="s">
        <v>765</v>
      </c>
      <c r="J9" s="37"/>
    </row>
    <row r="11" spans="1:14" x14ac:dyDescent="0.3">
      <c r="J11" s="35" t="s">
        <v>605</v>
      </c>
      <c r="K11" s="35" t="s">
        <v>685</v>
      </c>
    </row>
    <row r="12" spans="1:14" x14ac:dyDescent="0.3">
      <c r="J12" s="22" t="s">
        <v>686</v>
      </c>
      <c r="K12" s="22" t="s">
        <v>687</v>
      </c>
    </row>
    <row r="13" spans="1:14" x14ac:dyDescent="0.3">
      <c r="A13" t="s">
        <v>628</v>
      </c>
      <c r="J13" s="22" t="s">
        <v>688</v>
      </c>
      <c r="K13" s="22" t="s">
        <v>689</v>
      </c>
    </row>
    <row r="14" spans="1:14" x14ac:dyDescent="0.3">
      <c r="A14" t="s">
        <v>650</v>
      </c>
      <c r="B14" s="37">
        <v>2.5</v>
      </c>
      <c r="C14" t="s">
        <v>651</v>
      </c>
      <c r="J14" s="22" t="s">
        <v>690</v>
      </c>
      <c r="K14" s="22" t="s">
        <v>691</v>
      </c>
    </row>
    <row r="15" spans="1:14" ht="28.8" x14ac:dyDescent="0.3">
      <c r="A15" t="s">
        <v>652</v>
      </c>
      <c r="B15" s="53">
        <f>IF(Shell_HT!B6="","", B14*Shell_HT!B6^(-0.15))</f>
        <v>0.67575177979631906</v>
      </c>
      <c r="J15" s="22" t="s">
        <v>692</v>
      </c>
      <c r="K15" s="22" t="s">
        <v>693</v>
      </c>
    </row>
    <row r="16" spans="1:14" x14ac:dyDescent="0.3">
      <c r="A16" t="s">
        <v>656</v>
      </c>
      <c r="B16" s="40">
        <f>B15*(B4^2/(2*Input_Form!G21))*(Input_Form!C23/Shell_HT!B5)</f>
        <v>63961.49621572013</v>
      </c>
      <c r="C16" t="s">
        <v>653</v>
      </c>
    </row>
    <row r="17" spans="1:16" ht="28.8" x14ac:dyDescent="0.3">
      <c r="A17" t="s">
        <v>628</v>
      </c>
      <c r="B17" s="40">
        <f>B16*B18</f>
        <v>767537.95458864153</v>
      </c>
      <c r="I17" s="35" t="s">
        <v>0</v>
      </c>
      <c r="J17" s="35" t="s">
        <v>841</v>
      </c>
      <c r="K17" s="35" t="s">
        <v>842</v>
      </c>
      <c r="L17" s="30" t="s">
        <v>870</v>
      </c>
    </row>
    <row r="18" spans="1:16" ht="28.8" x14ac:dyDescent="0.3">
      <c r="A18" t="s">
        <v>655</v>
      </c>
      <c r="B18" s="37">
        <f>IF(AND(Input_Form!C10&lt;&gt;"",Shell_Inputs!C5&lt;&gt;""),
 MAX(1, INT(Input_Form!C10/Shell_Inputs!C5) - 2),
 "")</f>
        <v>12</v>
      </c>
      <c r="I18" s="22" t="s">
        <v>843</v>
      </c>
      <c r="J18" s="22" t="s">
        <v>844</v>
      </c>
      <c r="K18" s="22" t="s">
        <v>845</v>
      </c>
      <c r="L18" s="31" t="s">
        <v>871</v>
      </c>
      <c r="M18" s="85" t="s">
        <v>872</v>
      </c>
      <c r="N18" s="31" t="s">
        <v>873</v>
      </c>
      <c r="O18" s="31" t="s">
        <v>874</v>
      </c>
      <c r="P18" s="47" t="s">
        <v>875</v>
      </c>
    </row>
    <row r="19" spans="1:16" ht="28.8" x14ac:dyDescent="0.3">
      <c r="B19" s="37"/>
      <c r="G19" s="39">
        <f>B17+B20</f>
        <v>1151306.9318829624</v>
      </c>
      <c r="I19" s="22" t="s">
        <v>846</v>
      </c>
      <c r="J19" s="22" t="s">
        <v>847</v>
      </c>
      <c r="K19" s="22" t="s">
        <v>848</v>
      </c>
      <c r="L19" t="s">
        <v>876</v>
      </c>
      <c r="M19" t="s">
        <v>877</v>
      </c>
      <c r="P19" s="47" t="s">
        <v>878</v>
      </c>
    </row>
    <row r="20" spans="1:16" x14ac:dyDescent="0.3">
      <c r="A20" t="s">
        <v>630</v>
      </c>
      <c r="B20" s="40">
        <f>0.5 * B17</f>
        <v>383768.97729432076</v>
      </c>
      <c r="G20" s="39">
        <f>G19-B8</f>
        <v>607563.05038929218</v>
      </c>
      <c r="I20" s="22" t="s">
        <v>849</v>
      </c>
      <c r="J20" s="22" t="s">
        <v>850</v>
      </c>
      <c r="K20" s="22" t="s">
        <v>851</v>
      </c>
      <c r="L20" t="s">
        <v>873</v>
      </c>
      <c r="M20" t="s">
        <v>879</v>
      </c>
      <c r="N20" t="s">
        <v>880</v>
      </c>
      <c r="P20" s="47" t="s">
        <v>881</v>
      </c>
    </row>
    <row r="21" spans="1:16" x14ac:dyDescent="0.3">
      <c r="I21" s="22" t="s">
        <v>852</v>
      </c>
      <c r="J21" s="22" t="s">
        <v>830</v>
      </c>
      <c r="K21" s="22" t="s">
        <v>853</v>
      </c>
      <c r="L21" t="s">
        <v>882</v>
      </c>
      <c r="M21" s="31" t="s">
        <v>883</v>
      </c>
      <c r="N21" s="31" t="s">
        <v>884</v>
      </c>
      <c r="P21" t="s">
        <v>885</v>
      </c>
    </row>
    <row r="22" spans="1:16" x14ac:dyDescent="0.3">
      <c r="A22" t="s">
        <v>657</v>
      </c>
      <c r="B22" s="44">
        <f>EXP(-1.33*Shell_HT!B28)</f>
        <v>0.77516571672769341</v>
      </c>
      <c r="I22" s="22" t="s">
        <v>854</v>
      </c>
      <c r="J22" s="22" t="s">
        <v>833</v>
      </c>
      <c r="K22" s="22" t="s">
        <v>855</v>
      </c>
      <c r="L22" t="s">
        <v>886</v>
      </c>
      <c r="M22" s="31" t="s">
        <v>887</v>
      </c>
      <c r="N22" s="31" t="s">
        <v>888</v>
      </c>
      <c r="O22" t="s">
        <v>889</v>
      </c>
      <c r="P22" t="s">
        <v>890</v>
      </c>
    </row>
    <row r="24" spans="1:16" x14ac:dyDescent="0.3">
      <c r="A24" t="s">
        <v>658</v>
      </c>
      <c r="B24" s="44">
        <f xml:space="preserve"> EXP(-1.35 * Shell_HT!B35)</f>
        <v>0.60926847411847374</v>
      </c>
      <c r="J24" s="25" t="s">
        <v>869</v>
      </c>
    </row>
    <row r="26" spans="1:16" x14ac:dyDescent="0.3">
      <c r="A26" t="s">
        <v>813</v>
      </c>
      <c r="B26" s="39">
        <f>B17+B20</f>
        <v>1151306.9318829624</v>
      </c>
      <c r="C26" t="s">
        <v>140</v>
      </c>
    </row>
    <row r="27" spans="1:16" x14ac:dyDescent="0.3">
      <c r="B27">
        <f>B26/100000</f>
        <v>11.513069318829624</v>
      </c>
      <c r="C27" t="s">
        <v>765</v>
      </c>
    </row>
    <row r="29" spans="1:16" ht="15.6" x14ac:dyDescent="0.3">
      <c r="D29" s="55" t="s">
        <v>694</v>
      </c>
      <c r="J29" s="55" t="s">
        <v>704</v>
      </c>
      <c r="N29" s="31"/>
      <c r="O29" s="31"/>
    </row>
    <row r="30" spans="1:16" x14ac:dyDescent="0.3">
      <c r="A30" s="35" t="s">
        <v>659</v>
      </c>
      <c r="B30" s="35" t="s">
        <v>2</v>
      </c>
      <c r="D30" s="61" t="s">
        <v>695</v>
      </c>
      <c r="K30" s="31" t="s">
        <v>705</v>
      </c>
    </row>
    <row r="31" spans="1:16" x14ac:dyDescent="0.3">
      <c r="A31" s="24" t="s">
        <v>660</v>
      </c>
      <c r="B31" s="57">
        <v>50000</v>
      </c>
      <c r="C31" t="s">
        <v>140</v>
      </c>
      <c r="F31" s="31" t="s">
        <v>696</v>
      </c>
      <c r="K31" s="31" t="s">
        <v>706</v>
      </c>
      <c r="N31" s="31"/>
      <c r="O31" s="31"/>
    </row>
    <row r="32" spans="1:16" x14ac:dyDescent="0.3">
      <c r="A32" s="24" t="s">
        <v>755</v>
      </c>
      <c r="B32" s="57">
        <f>Input_Form!I44</f>
        <v>50000</v>
      </c>
      <c r="C32" t="s">
        <v>140</v>
      </c>
      <c r="D32" s="31"/>
      <c r="F32" s="31" t="s">
        <v>697</v>
      </c>
      <c r="K32" s="31" t="s">
        <v>707</v>
      </c>
    </row>
    <row r="33" spans="1:12" x14ac:dyDescent="0.3">
      <c r="A33" s="24" t="s">
        <v>661</v>
      </c>
      <c r="B33" s="57">
        <v>150000</v>
      </c>
      <c r="C33" t="s">
        <v>140</v>
      </c>
      <c r="F33" s="31" t="s">
        <v>698</v>
      </c>
      <c r="K33" s="31" t="s">
        <v>708</v>
      </c>
    </row>
    <row r="34" spans="1:12" x14ac:dyDescent="0.3">
      <c r="D34" s="31"/>
      <c r="E34" t="s">
        <v>699</v>
      </c>
      <c r="F34" s="31" t="s">
        <v>700</v>
      </c>
      <c r="K34" s="31" t="s">
        <v>709</v>
      </c>
    </row>
    <row r="35" spans="1:12" x14ac:dyDescent="0.3">
      <c r="A35" s="58" t="s">
        <v>662</v>
      </c>
      <c r="B35" t="str">
        <f>IF(B8&lt;B31,"OK",
 IF(B8&lt;B32,"⚠ MODERATE",
 IF(B8&lt;B33,"⚠ HIGH","❌ CRITICAL")))</f>
        <v>❌ CRITICAL</v>
      </c>
      <c r="F35" s="31" t="s">
        <v>701</v>
      </c>
      <c r="K35" t="s">
        <v>710</v>
      </c>
    </row>
    <row r="36" spans="1:12" x14ac:dyDescent="0.3">
      <c r="D36" s="31"/>
      <c r="F36" s="31" t="s">
        <v>702</v>
      </c>
      <c r="K36" s="31"/>
      <c r="L36" t="s">
        <v>711</v>
      </c>
    </row>
    <row r="37" spans="1:12" x14ac:dyDescent="0.3">
      <c r="E37" t="s">
        <v>703</v>
      </c>
      <c r="L37" s="31" t="s">
        <v>712</v>
      </c>
    </row>
    <row r="38" spans="1:12" x14ac:dyDescent="0.3">
      <c r="A38" t="s">
        <v>716</v>
      </c>
      <c r="B38" s="37">
        <f>IF(Input_Form!I43&lt;&gt;"", Input_Form!I43,  Shell_DP!B32)</f>
        <v>10000</v>
      </c>
      <c r="C38" t="s">
        <v>140</v>
      </c>
      <c r="K38" s="31"/>
      <c r="L38" s="31" t="s">
        <v>713</v>
      </c>
    </row>
    <row r="39" spans="1:12" x14ac:dyDescent="0.3">
      <c r="B39" s="37">
        <f>B38/10000</f>
        <v>1</v>
      </c>
      <c r="C39" t="s">
        <v>765</v>
      </c>
      <c r="L39" s="31" t="s">
        <v>714</v>
      </c>
    </row>
    <row r="40" spans="1:12" x14ac:dyDescent="0.3">
      <c r="C40" t="s">
        <v>717</v>
      </c>
      <c r="L40" s="31" t="s">
        <v>715</v>
      </c>
    </row>
    <row r="41" spans="1:12" x14ac:dyDescent="0.3">
      <c r="C41" t="s">
        <v>718</v>
      </c>
    </row>
    <row r="42" spans="1:12" x14ac:dyDescent="0.3">
      <c r="E42" s="31"/>
    </row>
    <row r="44" spans="1:12" x14ac:dyDescent="0.3">
      <c r="E44" s="31"/>
      <c r="K44" s="31"/>
    </row>
    <row r="46" spans="1:12" x14ac:dyDescent="0.3">
      <c r="E46" s="31"/>
      <c r="K46" s="31"/>
    </row>
    <row r="47" spans="1:12" ht="15.6" x14ac:dyDescent="0.3">
      <c r="A47" s="59" t="s">
        <v>684</v>
      </c>
      <c r="B47" t="str" cm="1">
        <f t="array" ref="B47:B50">IF(B8&gt;B38, J12:J15, "ΔP within acceptable range")</f>
        <v>Reduce Gs</v>
      </c>
    </row>
    <row r="48" spans="1:12" x14ac:dyDescent="0.3">
      <c r="B48" t="str">
        <v>Increase Lb</v>
      </c>
      <c r="K48" s="31"/>
    </row>
    <row r="49" spans="1:2" x14ac:dyDescent="0.3">
      <c r="B49" t="str">
        <v>Increase Pt/Do</v>
      </c>
    </row>
    <row r="50" spans="1:2" x14ac:dyDescent="0.3">
      <c r="B50" t="str">
        <v>Add sealing strips</v>
      </c>
    </row>
    <row r="55" spans="1:2" ht="18" x14ac:dyDescent="0.3">
      <c r="A55" s="30" t="s">
        <v>856</v>
      </c>
    </row>
    <row r="56" spans="1:2" x14ac:dyDescent="0.3">
      <c r="A56" s="31"/>
    </row>
    <row r="57" spans="1:2" x14ac:dyDescent="0.3">
      <c r="A57" s="32" t="s">
        <v>857</v>
      </c>
    </row>
    <row r="58" spans="1:2" x14ac:dyDescent="0.3">
      <c r="A58" s="85" t="s">
        <v>858</v>
      </c>
    </row>
    <row r="59" spans="1:2" x14ac:dyDescent="0.3">
      <c r="A59" s="31" t="s">
        <v>859</v>
      </c>
    </row>
    <row r="60" spans="1:2" x14ac:dyDescent="0.3">
      <c r="A60" s="31"/>
    </row>
    <row r="61" spans="1:2" x14ac:dyDescent="0.3">
      <c r="A61" s="32" t="s">
        <v>860</v>
      </c>
    </row>
    <row r="62" spans="1:2" x14ac:dyDescent="0.3">
      <c r="A62" s="85" t="s">
        <v>861</v>
      </c>
    </row>
    <row r="63" spans="1:2" x14ac:dyDescent="0.3">
      <c r="A63" s="31" t="s">
        <v>862</v>
      </c>
    </row>
    <row r="64" spans="1:2" x14ac:dyDescent="0.3">
      <c r="A64" s="31"/>
    </row>
    <row r="65" spans="1:1" x14ac:dyDescent="0.3">
      <c r="A65" s="32" t="s">
        <v>863</v>
      </c>
    </row>
    <row r="66" spans="1:1" x14ac:dyDescent="0.3">
      <c r="A66" s="85" t="s">
        <v>864</v>
      </c>
    </row>
    <row r="67" spans="1:1" x14ac:dyDescent="0.3">
      <c r="A67" s="31"/>
    </row>
    <row r="68" spans="1:1" x14ac:dyDescent="0.3">
      <c r="A68" s="32" t="s">
        <v>865</v>
      </c>
    </row>
    <row r="69" spans="1:1" x14ac:dyDescent="0.3">
      <c r="A69" s="85" t="s">
        <v>866</v>
      </c>
    </row>
    <row r="70" spans="1:1" x14ac:dyDescent="0.3">
      <c r="A70" s="31"/>
    </row>
    <row r="71" spans="1:1" x14ac:dyDescent="0.3">
      <c r="A71" s="32" t="s">
        <v>867</v>
      </c>
    </row>
    <row r="72" spans="1:1" x14ac:dyDescent="0.3">
      <c r="A72" s="31" t="s">
        <v>868</v>
      </c>
    </row>
  </sheetData>
  <conditionalFormatting sqref="B35">
    <cfRule type="cellIs" dxfId="16" priority="1" operator="equal">
      <formula>"❌ CRITICAL"</formula>
    </cfRule>
    <cfRule type="cellIs" dxfId="15" priority="2" operator="equal">
      <formula>"⚠ HIGH"</formula>
    </cfRule>
    <cfRule type="cellIs" dxfId="14" priority="3" operator="equal">
      <formula>"⚠ MODERATE"</formula>
    </cfRule>
    <cfRule type="cellIs" dxfId="13" priority="4" operator="equal">
      <formula>"OK"</formula>
    </cfRule>
  </conditionalFormatting>
  <pageMargins left="0.75" right="0.75" top="1" bottom="1" header="0.5" footer="0.5"/>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11"/>
  <sheetViews>
    <sheetView workbookViewId="0">
      <selection activeCell="C12" sqref="C12"/>
    </sheetView>
  </sheetViews>
  <sheetFormatPr defaultRowHeight="14.4" x14ac:dyDescent="0.3"/>
  <cols>
    <col min="1" max="1" width="34.88671875" bestFit="1" customWidth="1"/>
  </cols>
  <sheetData>
    <row r="1" spans="1:3" x14ac:dyDescent="0.3">
      <c r="A1" t="s">
        <v>29</v>
      </c>
      <c r="B1" t="s">
        <v>91</v>
      </c>
      <c r="C1" t="s">
        <v>96</v>
      </c>
    </row>
    <row r="2" spans="1:3" x14ac:dyDescent="0.3">
      <c r="A2" t="s">
        <v>97</v>
      </c>
      <c r="B2">
        <f>0.316/(Tube_HT!B5^0.25)</f>
        <v>5.9547490318603034E-2</v>
      </c>
      <c r="C2" t="s">
        <v>98</v>
      </c>
    </row>
    <row r="3" spans="1:3" x14ac:dyDescent="0.3">
      <c r="A3" t="s">
        <v>99</v>
      </c>
      <c r="B3">
        <f>B2*(Tube_Inputs!C3/Tube_Inputs!C2)*(Tube_Inputs!C7*(Tube_HT!B4^2)/2)</f>
        <v>295.80373958132668</v>
      </c>
      <c r="C3" t="s">
        <v>100</v>
      </c>
    </row>
    <row r="4" spans="1:3" x14ac:dyDescent="0.3">
      <c r="A4" t="s">
        <v>101</v>
      </c>
      <c r="B4">
        <f>B3*Tube_Inputs!C5</f>
        <v>591.60747916265336</v>
      </c>
      <c r="C4" t="s">
        <v>102</v>
      </c>
    </row>
    <row r="9" spans="1:3" x14ac:dyDescent="0.3">
      <c r="A9" t="s">
        <v>805</v>
      </c>
      <c r="B9">
        <f>Input_Form!I42</f>
        <v>10000</v>
      </c>
      <c r="C9" t="s">
        <v>140</v>
      </c>
    </row>
    <row r="10" spans="1:3" x14ac:dyDescent="0.3">
      <c r="A10" t="s">
        <v>806</v>
      </c>
      <c r="B10">
        <f>Input_Form!I45</f>
        <v>220000</v>
      </c>
      <c r="C10" t="s">
        <v>140</v>
      </c>
    </row>
    <row r="11" spans="1:3" x14ac:dyDescent="0.3">
      <c r="A11" t="s">
        <v>716</v>
      </c>
      <c r="B11">
        <f>IF(B9&lt;&gt;"", B9,  B10)</f>
        <v>10000</v>
      </c>
      <c r="C11" t="s">
        <v>140</v>
      </c>
    </row>
  </sheetData>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5"/>
  <sheetViews>
    <sheetView workbookViewId="0">
      <selection activeCell="K25" sqref="K25"/>
    </sheetView>
  </sheetViews>
  <sheetFormatPr defaultRowHeight="14.4" x14ac:dyDescent="0.3"/>
  <sheetData>
    <row r="1" spans="1:4" x14ac:dyDescent="0.3">
      <c r="A1" t="s">
        <v>90</v>
      </c>
    </row>
    <row r="3" spans="1:4" x14ac:dyDescent="0.3">
      <c r="A3" t="s">
        <v>0</v>
      </c>
      <c r="B3" t="s">
        <v>91</v>
      </c>
      <c r="C3" t="s">
        <v>92</v>
      </c>
      <c r="D3" t="s">
        <v>93</v>
      </c>
    </row>
    <row r="4" spans="1:4" x14ac:dyDescent="0.3">
      <c r="A4" t="s">
        <v>94</v>
      </c>
      <c r="B4">
        <f>Tube_DP!B4</f>
        <v>591.60747916265336</v>
      </c>
      <c r="C4" s="1">
        <f>Tube_DP!B11</f>
        <v>10000</v>
      </c>
      <c r="D4" s="3" t="str">
        <f>IF(B4&lt;=C4,"OK","EXCEEDS LIMIT")</f>
        <v>OK</v>
      </c>
    </row>
    <row r="5" spans="1:4" x14ac:dyDescent="0.3">
      <c r="A5" t="s">
        <v>95</v>
      </c>
      <c r="B5">
        <f>Shell_DP!B8</f>
        <v>543743.88149367017</v>
      </c>
      <c r="C5" s="1">
        <f>Shell_DP!B38</f>
        <v>10000</v>
      </c>
      <c r="D5" s="3" t="str">
        <f>IF(B5&lt;=C5,"OK","EXCEEDS LIMIT")</f>
        <v>EXCEEDS LIMIT</v>
      </c>
    </row>
  </sheetData>
  <conditionalFormatting sqref="D4:D5">
    <cfRule type="expression" dxfId="12" priority="1">
      <formula>D4="OK"</formula>
    </cfRule>
    <cfRule type="expression" dxfId="11" priority="2">
      <formula>D4="EXCEEDS LIMIT"</formula>
    </cfRule>
  </conditionalFormatting>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N58"/>
  <sheetViews>
    <sheetView topLeftCell="A28" workbookViewId="0">
      <selection activeCell="B32" sqref="B32"/>
    </sheetView>
  </sheetViews>
  <sheetFormatPr defaultRowHeight="14.4" x14ac:dyDescent="0.3"/>
  <cols>
    <col min="1" max="1" width="35.21875" bestFit="1" customWidth="1"/>
  </cols>
  <sheetData>
    <row r="1" spans="1:14" x14ac:dyDescent="0.3">
      <c r="A1" t="s">
        <v>29</v>
      </c>
      <c r="B1" t="s">
        <v>2</v>
      </c>
      <c r="C1" t="s">
        <v>30</v>
      </c>
      <c r="J1" s="25" t="s">
        <v>412</v>
      </c>
    </row>
    <row r="2" spans="1:14" x14ac:dyDescent="0.3">
      <c r="A2" t="s">
        <v>31</v>
      </c>
      <c r="B2" s="2">
        <f>Shell_Inputs!C6</f>
        <v>5.5555555555555554</v>
      </c>
      <c r="C2" t="s">
        <v>65</v>
      </c>
      <c r="J2" s="37" t="s">
        <v>408</v>
      </c>
      <c r="K2" s="37" t="s">
        <v>409</v>
      </c>
      <c r="L2" s="37" t="s">
        <v>389</v>
      </c>
      <c r="M2" s="37" t="s">
        <v>390</v>
      </c>
    </row>
    <row r="3" spans="1:14" x14ac:dyDescent="0.3">
      <c r="A3" t="s">
        <v>66</v>
      </c>
      <c r="B3" s="2">
        <f>Shell_Inputs!C2*(Shell_Inputs!C4-Shell_Inputs!C3)/Shell_Inputs!C4*Shell_Inputs!C5</f>
        <v>4.5937499999999999E-2</v>
      </c>
      <c r="C3" t="s">
        <v>67</v>
      </c>
      <c r="J3" s="37" t="s">
        <v>406</v>
      </c>
      <c r="K3" s="37">
        <v>1.25</v>
      </c>
      <c r="L3" s="37">
        <v>0.2</v>
      </c>
      <c r="M3" s="37">
        <v>0.6</v>
      </c>
    </row>
    <row r="4" spans="1:14" x14ac:dyDescent="0.3">
      <c r="A4" t="s">
        <v>68</v>
      </c>
      <c r="B4" s="2">
        <f>B2/B3</f>
        <v>120.93726379440665</v>
      </c>
      <c r="C4" t="s">
        <v>69</v>
      </c>
      <c r="J4" s="37" t="s">
        <v>406</v>
      </c>
      <c r="K4" s="37">
        <v>1.33</v>
      </c>
      <c r="L4" s="37">
        <v>0.18</v>
      </c>
      <c r="M4" s="37">
        <v>0.62</v>
      </c>
    </row>
    <row r="5" spans="1:14" x14ac:dyDescent="0.3">
      <c r="A5" t="s">
        <v>70</v>
      </c>
      <c r="B5" s="2">
        <f>1.27*(Shell_Inputs!C4^2-0.785*(Shell_Inputs!C3^2))/Shell_Inputs!C3</f>
        <v>2.7095449999999993E-2</v>
      </c>
      <c r="C5" t="s">
        <v>71</v>
      </c>
      <c r="J5" s="37" t="s">
        <v>406</v>
      </c>
      <c r="K5" s="37">
        <v>1.5</v>
      </c>
      <c r="L5" s="37">
        <v>0.15</v>
      </c>
      <c r="M5" s="37">
        <v>0.65</v>
      </c>
    </row>
    <row r="6" spans="1:14" x14ac:dyDescent="0.3">
      <c r="A6" t="s">
        <v>72</v>
      </c>
      <c r="B6" s="2">
        <f>B4*B5/Shell_Inputs!C8</f>
        <v>6133.1756536990461</v>
      </c>
      <c r="C6" t="s">
        <v>73</v>
      </c>
      <c r="J6" s="37" t="s">
        <v>410</v>
      </c>
      <c r="K6" s="37">
        <v>1.25</v>
      </c>
      <c r="L6" s="37">
        <v>0.16</v>
      </c>
      <c r="M6" s="37">
        <v>0.62</v>
      </c>
    </row>
    <row r="7" spans="1:14" x14ac:dyDescent="0.3">
      <c r="A7" t="s">
        <v>74</v>
      </c>
      <c r="B7" s="2">
        <f>Shell_Inputs!C9*Shell_Inputs!C8/Shell_Inputs!C10</f>
        <v>3.7842682873608449</v>
      </c>
      <c r="C7" t="s">
        <v>75</v>
      </c>
      <c r="J7" s="37" t="s">
        <v>410</v>
      </c>
      <c r="K7" s="37">
        <v>1.33</v>
      </c>
      <c r="L7" s="37">
        <v>0.14000000000000001</v>
      </c>
      <c r="M7" s="37">
        <v>0.65</v>
      </c>
    </row>
    <row r="8" spans="1:14" x14ac:dyDescent="0.3">
      <c r="A8" t="s">
        <v>76</v>
      </c>
      <c r="B8" s="2">
        <f>Shell_Inputs!C11*B4*Shell_Inputs!C9/(B7^(2/3))</f>
        <v>201.46938828461165</v>
      </c>
      <c r="C8" t="s">
        <v>77</v>
      </c>
      <c r="J8" s="37" t="s">
        <v>410</v>
      </c>
      <c r="K8" s="37">
        <v>1.5</v>
      </c>
      <c r="L8" s="37">
        <v>0.12</v>
      </c>
      <c r="M8" s="37">
        <v>0.68</v>
      </c>
    </row>
    <row r="9" spans="1:14" x14ac:dyDescent="0.3">
      <c r="A9" t="s">
        <v>78</v>
      </c>
      <c r="B9" s="2">
        <f>B8*Shell_Inputs!C12*Shell_Inputs!C13*Shell_Inputs!C14*Shell_Inputs!C15*Shell_Inputs!C16</f>
        <v>83.739513676379062</v>
      </c>
      <c r="C9" t="s">
        <v>79</v>
      </c>
    </row>
    <row r="11" spans="1:14" x14ac:dyDescent="0.3">
      <c r="J11" s="25" t="s">
        <v>413</v>
      </c>
      <c r="M11" s="37" t="s">
        <v>416</v>
      </c>
      <c r="N11" s="37" t="s">
        <v>417</v>
      </c>
    </row>
    <row r="12" spans="1:14" x14ac:dyDescent="0.3">
      <c r="A12" s="50" t="s">
        <v>360</v>
      </c>
      <c r="J12" t="s">
        <v>414</v>
      </c>
      <c r="L12" s="37">
        <f>_xlfn.MAXIFS(K3:K8,
 J3:J8, Input_Form!C24,
 K3:K8, "&lt;="&amp;Input_Form!C29)</f>
        <v>1.25</v>
      </c>
      <c r="M12" s="37" cm="1">
        <f t="array" ref="M12">INDEX(L3:L8,
 MATCH(1,
 (J3:J8=Input_Form!C24)*
 (Shell_HT!K3:K8=L12),0))</f>
        <v>0.2</v>
      </c>
      <c r="N12" s="37" cm="1">
        <f t="array" ref="N12">INDEX(M3:M8,
 MATCH(1,
 (J3:J8=Input_Form!C24)*
 (K3:K8=L12),0))</f>
        <v>0.6</v>
      </c>
    </row>
    <row r="13" spans="1:14" x14ac:dyDescent="0.3">
      <c r="A13" t="s">
        <v>420</v>
      </c>
      <c r="B13" s="45">
        <f>IF(B6&lt;&gt;"",
 L15 * B6^(-L16),
 "")</f>
        <v>9.6252463008937627E-4</v>
      </c>
      <c r="J13" t="s">
        <v>415</v>
      </c>
      <c r="L13" s="37">
        <f>_xlfn.MINIFS(K3:K8,
 J3:J8, Input_Form!C24,
 K3:K8, "&gt;="&amp;Input_Form!C29)</f>
        <v>1.33</v>
      </c>
      <c r="M13" s="37" cm="1">
        <f t="array" ref="M13">INDEX(L3:L8,
 MATCH(1,
 (J3:J8=Input_Form!C24)*
 (K3:K8=L13),0))</f>
        <v>0.18</v>
      </c>
      <c r="N13" s="37" cm="1">
        <f t="array" ref="N13">INDEX(M3:M8,
 MATCH(1,
 (J3:J8=Input_Form!C24)*
 (Shell_HT!K3:K8=L13),0))</f>
        <v>0.62</v>
      </c>
    </row>
    <row r="14" spans="1:14" x14ac:dyDescent="0.3">
      <c r="B14" t="str">
        <f>IF(B13="","",
IF(OR(B13&lt;0.002,B13&gt;0.03),
"⚠ jₕ outside typical Bell range",
"✅ jₕ OK"))</f>
        <v>⚠ jₕ outside typical Bell range</v>
      </c>
    </row>
    <row r="15" spans="1:14" x14ac:dyDescent="0.3">
      <c r="J15" t="s">
        <v>418</v>
      </c>
      <c r="L15" s="37">
        <f>IF(L12=L13, M12,
 M12+ (M13-M12)*(Input_Form!C29-L12)/(L13-L12))</f>
        <v>0.1925</v>
      </c>
    </row>
    <row r="16" spans="1:14" x14ac:dyDescent="0.3">
      <c r="A16" s="50" t="s">
        <v>421</v>
      </c>
      <c r="J16" t="s">
        <v>419</v>
      </c>
      <c r="L16" s="44">
        <f>IF(L12=L13, N12,
N12+ (N13-N12)*(Input_Form!C29-L12)/(L13-L12))</f>
        <v>0.60749999999999993</v>
      </c>
    </row>
    <row r="17" spans="1:5" x14ac:dyDescent="0.3">
      <c r="A17" t="s">
        <v>440</v>
      </c>
      <c r="B17" s="37">
        <f>IF(AND(Input_Form!C23&lt;&gt;"",Input_Form!C20&lt;&gt;""),
 Input_Form!C23/Input_Form!C20,
 "")</f>
        <v>0.58333333333333337</v>
      </c>
      <c r="C17" t="s">
        <v>441</v>
      </c>
    </row>
    <row r="18" spans="1:5" x14ac:dyDescent="0.3">
      <c r="A18" t="s">
        <v>442</v>
      </c>
      <c r="B18" s="37">
        <f>IF(Input_Form!C26&lt;&gt;"",
 Input_Form!C26/100,
 "")</f>
        <v>0.3</v>
      </c>
    </row>
    <row r="19" spans="1:5" x14ac:dyDescent="0.3">
      <c r="A19" s="49" t="s">
        <v>60</v>
      </c>
      <c r="B19" s="37">
        <f>IF(B18&lt;&gt;"",
 0.55 + 0.72*B18,
 "")</f>
        <v>0.76600000000000001</v>
      </c>
    </row>
    <row r="20" spans="1:5" x14ac:dyDescent="0.3">
      <c r="A20" t="s">
        <v>443</v>
      </c>
      <c r="B20" s="37">
        <f>IF(B19="","",
 MAX(0.5, MIN(B19, 1))
)</f>
        <v>0.76600000000000001</v>
      </c>
      <c r="C20" t="s">
        <v>444</v>
      </c>
    </row>
    <row r="21" spans="1:5" x14ac:dyDescent="0.3">
      <c r="B21" t="str">
        <f>IF(B20="","",
IF(OR(Input_Form!C26&lt;20,Input_Form!C26&gt;45),
"⚠ Baffle cut outside common design range",
"✅ Baffle cut typical"))</f>
        <v>✅ Baffle cut typical</v>
      </c>
    </row>
    <row r="23" spans="1:5" x14ac:dyDescent="0.3">
      <c r="A23" s="50" t="s">
        <v>445</v>
      </c>
    </row>
    <row r="24" spans="1:5" x14ac:dyDescent="0.3">
      <c r="A24" t="s">
        <v>501</v>
      </c>
      <c r="B24" s="39">
        <f>PI()*Input_Form!C20*(Input_Form!C27)</f>
        <v>5654.8667764616275</v>
      </c>
      <c r="C24" t="s">
        <v>509</v>
      </c>
    </row>
    <row r="25" spans="1:5" x14ac:dyDescent="0.3">
      <c r="A25" t="s">
        <v>502</v>
      </c>
      <c r="B25" s="39">
        <f>Input_Form!C11 * PI() * Input_Form!C21 * Input_Form!C28</f>
        <v>3141.5926535897934</v>
      </c>
      <c r="C25" t="s">
        <v>509</v>
      </c>
    </row>
    <row r="26" spans="1:5" x14ac:dyDescent="0.3">
      <c r="A26" t="s">
        <v>503</v>
      </c>
      <c r="B26" s="39">
        <f>B24+B25</f>
        <v>8796.4594300514218</v>
      </c>
      <c r="C26" t="s">
        <v>509</v>
      </c>
    </row>
    <row r="27" spans="1:5" x14ac:dyDescent="0.3">
      <c r="A27" t="s">
        <v>504</v>
      </c>
      <c r="B27" s="39">
        <f>B3*1000000</f>
        <v>45937.5</v>
      </c>
      <c r="C27" t="s">
        <v>509</v>
      </c>
    </row>
    <row r="28" spans="1:5" x14ac:dyDescent="0.3">
      <c r="A28" t="s">
        <v>505</v>
      </c>
      <c r="B28" s="46">
        <f>IF(B27&lt;&gt;"", B26/B27, "")</f>
        <v>0.19148755221880645</v>
      </c>
      <c r="C28" t="s">
        <v>506</v>
      </c>
      <c r="D28" s="32"/>
      <c r="E28" s="32"/>
    </row>
    <row r="29" spans="1:5" x14ac:dyDescent="0.3">
      <c r="A29" t="s">
        <v>507</v>
      </c>
      <c r="B29" s="46">
        <f>IF(B28&lt;&gt;"",
 EXP(-1.33*B28),
 "")</f>
        <v>0.77516571672769341</v>
      </c>
      <c r="C29" s="31"/>
    </row>
    <row r="30" spans="1:5" x14ac:dyDescent="0.3">
      <c r="A30" t="s">
        <v>508</v>
      </c>
      <c r="B30" s="46">
        <f>IF(B29="","",
 MAX(0.5, MIN(B29, 1))
)</f>
        <v>0.77516571672769341</v>
      </c>
    </row>
    <row r="31" spans="1:5" x14ac:dyDescent="0.3">
      <c r="B31" t="str">
        <f>IF(B28="","",
IF(B28&gt;0.25,
"⚠ High leakage – consider tighter clearances",
"✅ Leakage within typical range"))</f>
        <v>✅ Leakage within typical range</v>
      </c>
      <c r="C31" s="31"/>
    </row>
    <row r="33" spans="1:4" x14ac:dyDescent="0.3">
      <c r="A33" s="50" t="s">
        <v>510</v>
      </c>
    </row>
    <row r="34" spans="1:4" x14ac:dyDescent="0.3">
      <c r="A34" t="s">
        <v>516</v>
      </c>
      <c r="B34" s="37">
        <f>IF(AND(Input_Form!C20&lt;&gt;"",B43&lt;&gt;""),
 (Input_Form!C20-B43)/2,
 "")</f>
        <v>128.46199442595284</v>
      </c>
      <c r="C34" t="s">
        <v>160</v>
      </c>
    </row>
    <row r="35" spans="1:4" x14ac:dyDescent="0.3">
      <c r="A35" t="s">
        <v>517</v>
      </c>
      <c r="B35" s="53">
        <f>IF(B34&lt;&gt;"",
 (PI()*B43*B34) /
 (PI()*B43*Input_Form!C23),
 "")</f>
        <v>0.36703426978843667</v>
      </c>
    </row>
    <row r="36" spans="1:4" x14ac:dyDescent="0.3">
      <c r="A36" t="s">
        <v>572</v>
      </c>
      <c r="B36" s="52">
        <f>IF(B35&lt;&gt;"",
 EXP(-1.35*B35),
 "")</f>
        <v>0.60926847411847374</v>
      </c>
    </row>
    <row r="37" spans="1:4" x14ac:dyDescent="0.3">
      <c r="A37" t="s">
        <v>518</v>
      </c>
      <c r="B37" s="53">
        <f>IF(B36="","",
 MAX(0.7, MIN(B36, 1))
)</f>
        <v>0.7</v>
      </c>
    </row>
    <row r="38" spans="1:4" x14ac:dyDescent="0.3">
      <c r="B38" t="str">
        <f>IF(B35="","",
IF(B35&gt;0.3,
"❌ Severe bundle bypass – sealing strips recommended",
IF(B35&gt;0.15,
"⚠ Moderate bundle bypass",
"✅ Bundle bypass acceptable")))</f>
        <v>❌ Severe bundle bypass – sealing strips recommended</v>
      </c>
    </row>
    <row r="39" spans="1:4" x14ac:dyDescent="0.3">
      <c r="A39" t="s">
        <v>561</v>
      </c>
      <c r="B39" t="s">
        <v>562</v>
      </c>
    </row>
    <row r="41" spans="1:4" x14ac:dyDescent="0.3">
      <c r="A41" t="s">
        <v>563</v>
      </c>
      <c r="B41" s="37">
        <f>IF(Input_Form!C24="Triangular",0.87,1)</f>
        <v>0.87</v>
      </c>
    </row>
    <row r="42" spans="1:4" x14ac:dyDescent="0.3">
      <c r="A42" t="s">
        <v>566</v>
      </c>
      <c r="B42">
        <f>IF(AND(Input_Form!C11&lt;&gt;"",Input_Form!C22&lt;&gt;""),
 Input_Form!C22*SQRT(Input_Form!C11/B41),
 "")</f>
        <v>343.07601114809432</v>
      </c>
      <c r="C42" t="s">
        <v>160</v>
      </c>
      <c r="D42" t="s">
        <v>567</v>
      </c>
    </row>
    <row r="43" spans="1:4" x14ac:dyDescent="0.3">
      <c r="A43" t="s">
        <v>568</v>
      </c>
      <c r="B43">
        <f>IF(Input_Form!C30&lt;&gt;"", Input_Form!C30, B42)</f>
        <v>343.07601114809432</v>
      </c>
    </row>
    <row r="44" spans="1:4" x14ac:dyDescent="0.3">
      <c r="B44" t="str">
        <f>IF(Input_Form!C30&lt;&gt;"",
"✅ Db from vendor / datasheet",
"⚠ Db estimated from tube count")</f>
        <v>⚠ Db estimated from tube count</v>
      </c>
    </row>
    <row r="45" spans="1:4" x14ac:dyDescent="0.3">
      <c r="A45" t="s">
        <v>569</v>
      </c>
      <c r="B45" t="str">
        <f>IF(OR(B43="",Input_Form!C20=""),"",
IF(B43/Input_Form!C20&gt;0.98,
"⚠ Db too close to shell ID – check inputs",
"✅ Db/Shell ID reasonable"))</f>
        <v>✅ Db/Shell ID reasonable</v>
      </c>
    </row>
    <row r="46" spans="1:4" x14ac:dyDescent="0.3">
      <c r="B46" t="s">
        <v>570</v>
      </c>
    </row>
    <row r="47" spans="1:4" x14ac:dyDescent="0.3">
      <c r="B47" s="31" t="s">
        <v>571</v>
      </c>
    </row>
    <row r="49" spans="1:3" x14ac:dyDescent="0.3">
      <c r="A49" s="50" t="s">
        <v>573</v>
      </c>
    </row>
    <row r="50" spans="1:3" x14ac:dyDescent="0.3">
      <c r="A50" t="s">
        <v>591</v>
      </c>
      <c r="B50" s="53">
        <f>IF(OR(Input_Form!G27="",Input_Form!G28=""),
 1,
 (1/(Input_Form!G27/Input_Form!C23))^0.5 *
 (1/(Input_Form!G28/Input_Form!C23))^0.5
)</f>
        <v>1</v>
      </c>
      <c r="C50" t="s">
        <v>590</v>
      </c>
    </row>
    <row r="51" spans="1:3" x14ac:dyDescent="0.3">
      <c r="A51" t="s">
        <v>592</v>
      </c>
      <c r="B51" s="54">
        <f>IF(AND(Input_Form!G27&lt;&gt;"",Input_Form!C23&lt;&gt;""),
 Input_Form!G27/Input_Form!C23,
 "")</f>
        <v>1</v>
      </c>
    </row>
    <row r="52" spans="1:3" x14ac:dyDescent="0.3">
      <c r="A52" t="s">
        <v>593</v>
      </c>
      <c r="B52" s="54">
        <f>IF(AND(Input_Form!G28&lt;&gt;"",Input_Form!C23&lt;&gt;""),
 Input_Form!G28/Input_Form!C23,
 "")</f>
        <v>1</v>
      </c>
    </row>
    <row r="53" spans="1:3" x14ac:dyDescent="0.3">
      <c r="B53" t="str">
        <f>IF(B50="","",
IF(OR(B51&gt;1.5,B52&gt;1.5),
"⚠ Large inlet/outlet spacing – reduced cross-flow",
"✅ Baffle spacing acceptable"))</f>
        <v>✅ Baffle spacing acceptable</v>
      </c>
    </row>
    <row r="55" spans="1:3" x14ac:dyDescent="0.3">
      <c r="A55" s="50" t="s">
        <v>594</v>
      </c>
    </row>
    <row r="56" spans="1:3" x14ac:dyDescent="0.3">
      <c r="A56" t="s">
        <v>612</v>
      </c>
      <c r="B56" s="37">
        <f>IF(B6="","",
 IF(B6&gt;=100, 1,
 (B6/100)^0.18))</f>
        <v>1</v>
      </c>
    </row>
    <row r="57" spans="1:3" x14ac:dyDescent="0.3">
      <c r="B57" t="str">
        <f>IF(B6="","",
 IF(B6&lt;20,
 "❌ Very low Reₛ – Bell–Delaware unreliable",
 IF(B6&lt;100,
 "⚠ Laminar correction applied (low Reₛ)",
 "✅ Turbulent flow – no Jr correction")))</f>
        <v>✅ Turbulent flow – no Jr correction</v>
      </c>
    </row>
    <row r="58" spans="1:3" x14ac:dyDescent="0.3">
      <c r="A58" t="s">
        <v>613</v>
      </c>
      <c r="B58" s="37">
        <f>IF(B56="","",
 MAX(0.6, MIN(B56, 1)))</f>
        <v>1</v>
      </c>
    </row>
  </sheetData>
  <phoneticPr fontId="27" type="noConversion"/>
  <pageMargins left="0.75" right="0.75" top="1" bottom="1" header="0.5" footer="0.5"/>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8"/>
  <sheetViews>
    <sheetView workbookViewId="0">
      <selection activeCell="B8" sqref="B8"/>
    </sheetView>
  </sheetViews>
  <sheetFormatPr defaultRowHeight="14.4" x14ac:dyDescent="0.3"/>
  <cols>
    <col min="1" max="1" width="14.33203125" bestFit="1" customWidth="1"/>
  </cols>
  <sheetData>
    <row r="1" spans="1:3" x14ac:dyDescent="0.3">
      <c r="A1" t="s">
        <v>29</v>
      </c>
      <c r="B1" t="s">
        <v>2</v>
      </c>
      <c r="C1" t="s">
        <v>30</v>
      </c>
    </row>
    <row r="2" spans="1:3" x14ac:dyDescent="0.3">
      <c r="A2" t="s">
        <v>31</v>
      </c>
      <c r="B2" s="2">
        <f>Tube_Inputs!C6</f>
        <v>5.5555555555555554</v>
      </c>
      <c r="C2" t="s">
        <v>183</v>
      </c>
    </row>
    <row r="3" spans="1:3" x14ac:dyDescent="0.3">
      <c r="A3" t="s">
        <v>32</v>
      </c>
      <c r="B3" s="2">
        <f>Tube_Inputs!C4*PI()*(Tube_Inputs!C2^2)/4</f>
        <v>2.850229569923424E-2</v>
      </c>
      <c r="C3" t="s">
        <v>33</v>
      </c>
    </row>
    <row r="4" spans="1:3" x14ac:dyDescent="0.3">
      <c r="A4" t="s">
        <v>34</v>
      </c>
      <c r="B4" s="2">
        <f>B2/(Tube_Inputs!C7*B3)</f>
        <v>0.19419923529641436</v>
      </c>
      <c r="C4" t="s">
        <v>35</v>
      </c>
    </row>
    <row r="5" spans="1:3" x14ac:dyDescent="0.3">
      <c r="A5" t="s">
        <v>36</v>
      </c>
      <c r="B5" s="2">
        <f>Tube_Inputs!C7*B4*Tube_Inputs!C2/Tube_Inputs!C8</f>
        <v>793.03888132775899</v>
      </c>
      <c r="C5" t="s">
        <v>37</v>
      </c>
    </row>
    <row r="6" spans="1:3" x14ac:dyDescent="0.3">
      <c r="A6" t="s">
        <v>38</v>
      </c>
      <c r="B6" s="2">
        <f>Tube_Inputs!C9*Tube_Inputs!C8/Tube_Inputs!C10</f>
        <v>54.849752921003898</v>
      </c>
      <c r="C6" t="s">
        <v>39</v>
      </c>
    </row>
    <row r="7" spans="1:3" x14ac:dyDescent="0.3">
      <c r="A7" t="s">
        <v>40</v>
      </c>
      <c r="B7" s="2">
        <f>0.023*(B5^0.8)*(B6^0.4)</f>
        <v>23.814051620210698</v>
      </c>
      <c r="C7" t="s">
        <v>41</v>
      </c>
    </row>
    <row r="8" spans="1:3" x14ac:dyDescent="0.3">
      <c r="A8" t="s">
        <v>42</v>
      </c>
      <c r="B8" s="2">
        <f>B7*Tube_Inputs!C10/Tube_Inputs!C2</f>
        <v>259.62941632554123</v>
      </c>
      <c r="C8" t="s">
        <v>43</v>
      </c>
    </row>
  </sheetData>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12"/>
  <sheetViews>
    <sheetView workbookViewId="0">
      <selection activeCell="E20" sqref="E20"/>
    </sheetView>
  </sheetViews>
  <sheetFormatPr defaultRowHeight="14.4" x14ac:dyDescent="0.3"/>
  <cols>
    <col min="1" max="1" width="22.88671875" bestFit="1" customWidth="1"/>
    <col min="5" max="5" width="63.33203125" customWidth="1"/>
  </cols>
  <sheetData>
    <row r="1" spans="1:5" x14ac:dyDescent="0.3">
      <c r="A1" t="s">
        <v>29</v>
      </c>
      <c r="B1" t="s">
        <v>2</v>
      </c>
      <c r="C1" t="s">
        <v>30</v>
      </c>
    </row>
    <row r="2" spans="1:5" x14ac:dyDescent="0.3">
      <c r="A2" t="s">
        <v>80</v>
      </c>
      <c r="B2" s="3">
        <f>1/(1/Tube_HT!B8+1/Shell_HT!B9+0.0002+0.0003)</f>
        <v>61.374403356603608</v>
      </c>
      <c r="C2" t="s">
        <v>81</v>
      </c>
    </row>
    <row r="3" spans="1:5" x14ac:dyDescent="0.3">
      <c r="A3" t="s">
        <v>82</v>
      </c>
      <c r="B3" s="3">
        <f>IF(
AND(Energy_Check!C9&lt;&gt;"",B2&lt;&gt;"",Energy_Check!C14&lt;&gt;""),
ABS(Energy_Check!C9*1000/3600)
/
(B2*Energy_Check!C14*B12),
""
)</f>
        <v>79.030021359506236</v>
      </c>
      <c r="C3" t="s">
        <v>83</v>
      </c>
      <c r="E3" t="s">
        <v>349</v>
      </c>
    </row>
    <row r="4" spans="1:5" x14ac:dyDescent="0.3">
      <c r="A4" t="s">
        <v>84</v>
      </c>
      <c r="B4" s="3">
        <f>Input_Form!C13</f>
        <v>250</v>
      </c>
    </row>
    <row r="5" spans="1:5" x14ac:dyDescent="0.3">
      <c r="A5" t="s">
        <v>85</v>
      </c>
      <c r="B5" s="3">
        <f>(B4-B3)/B3*100</f>
        <v>216.33548327508888</v>
      </c>
      <c r="C5" t="s">
        <v>86</v>
      </c>
    </row>
    <row r="6" spans="1:5" x14ac:dyDescent="0.3">
      <c r="A6" t="s">
        <v>87</v>
      </c>
      <c r="B6" s="3" t="str">
        <f>IF(
B5="","",
IF(B5&gt;=15,"OK",
IF(B5&gt;=0,"Marginal Area",
"Insufficient Area")))</f>
        <v>OK</v>
      </c>
      <c r="C6" t="s">
        <v>88</v>
      </c>
    </row>
    <row r="7" spans="1:5" x14ac:dyDescent="0.3">
      <c r="B7" s="3" t="str">
        <f>IF(
B5="","",
IF(B5&gt;=15,"OK",
"FAIL"))</f>
        <v>OK</v>
      </c>
    </row>
    <row r="8" spans="1:5" ht="57.6" x14ac:dyDescent="0.3">
      <c r="A8" t="s">
        <v>89</v>
      </c>
      <c r="B8" s="3" t="str">
        <f>IF(OR(DP_Checks!D4="EXCEEDS LIMIT",DP_Checks!D5="EXCEEDS LIMIT"),"⚠ CHECK ΔP","OK")</f>
        <v>⚠ CHECK ΔP</v>
      </c>
      <c r="E8" s="87" t="s">
        <v>891</v>
      </c>
    </row>
    <row r="9" spans="1:5" x14ac:dyDescent="0.3">
      <c r="B9" t="str">
        <f>IF(OR(DP_Checks!D4="EXCEEDS LIMIT",DP_Checks!D5="EXCEEDS LIMIT"),"EXCEEDS LIMIT","OK")</f>
        <v>EXCEEDS LIMIT</v>
      </c>
    </row>
    <row r="12" spans="1:5" x14ac:dyDescent="0.3">
      <c r="A12" t="s">
        <v>346</v>
      </c>
      <c r="B12" s="41">
        <v>1</v>
      </c>
    </row>
  </sheetData>
  <conditionalFormatting sqref="B5">
    <cfRule type="cellIs" dxfId="10" priority="4" operator="greaterThanOrEqual">
      <formula>10</formula>
    </cfRule>
    <cfRule type="cellIs" dxfId="9" priority="5" operator="between">
      <formula>0</formula>
      <formula>10</formula>
    </cfRule>
    <cfRule type="cellIs" dxfId="8" priority="6" operator="lessThan">
      <formula>0</formula>
    </cfRule>
  </conditionalFormatting>
  <conditionalFormatting sqref="B6:B7">
    <cfRule type="expression" dxfId="7" priority="2">
      <formula>B6="PASS"</formula>
    </cfRule>
    <cfRule type="expression" dxfId="6" priority="3">
      <formula>B6="FAIL"</formula>
    </cfRule>
  </conditionalFormatting>
  <conditionalFormatting sqref="B8">
    <cfRule type="expression" dxfId="5" priority="7">
      <formula>B8="OK"</formula>
    </cfRule>
    <cfRule type="expression" dxfId="4" priority="8">
      <formula>B8="⚠ CHECK ΔP"</formula>
    </cfRule>
  </conditionalFormatting>
  <conditionalFormatting sqref="B9">
    <cfRule type="cellIs" dxfId="3" priority="1" operator="equal">
      <formula>"EXCEEDS LIMIT"</formula>
    </cfRule>
  </conditionalFormatting>
  <dataValidations disablePrompts="1" count="1">
    <dataValidation type="decimal" allowBlank="1" showInputMessage="1" showErrorMessage="1" sqref="B12" xr:uid="{042BDE09-AFE0-400B-A580-9FBD335588D3}">
      <formula1>0.5</formula1>
      <formula2>1</formula2>
    </dataValidation>
  </dataValidations>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373AF-80EF-4F5D-93E3-D02196A8C4AE}">
  <dimension ref="B2:E18"/>
  <sheetViews>
    <sheetView workbookViewId="0">
      <selection activeCell="I26" sqref="I26"/>
    </sheetView>
  </sheetViews>
  <sheetFormatPr defaultRowHeight="14.4" x14ac:dyDescent="0.3"/>
  <cols>
    <col min="2" max="2" width="21" bestFit="1" customWidth="1"/>
    <col min="3" max="3" width="11.6640625" bestFit="1" customWidth="1"/>
    <col min="6" max="6" width="12.6640625" bestFit="1" customWidth="1"/>
  </cols>
  <sheetData>
    <row r="2" spans="2:5" x14ac:dyDescent="0.3">
      <c r="B2" t="s">
        <v>350</v>
      </c>
      <c r="C2" t="str">
        <f>IF(
OR(
AND(Input_Form!C34&gt;Input_Form!C36, Input_Form!C35&lt;Input_Form!C37),
AND(Input_Form!C36&gt;Input_Form!C34, Input_Form!C37&lt;Input_Form!C35)
),
"Counter-current",
"Co-current"
)</f>
        <v>Counter-current</v>
      </c>
    </row>
    <row r="4" spans="2:5" x14ac:dyDescent="0.3">
      <c r="B4" t="s">
        <v>336</v>
      </c>
      <c r="C4">
        <f>IF(
AND(Input_Form!C34&lt;&gt;"",Input_Form!C35&lt;&gt;""),
Tube_Inputs!C6* Tube_Inputs!C9 * (Input_Form!C35 - Input_Form!C34),
""
)</f>
        <v>-270333.33333333331</v>
      </c>
      <c r="D4" t="s">
        <v>338</v>
      </c>
    </row>
    <row r="5" spans="2:5" x14ac:dyDescent="0.3">
      <c r="B5" t="s">
        <v>337</v>
      </c>
      <c r="C5">
        <f>IF(
AND(Input_Form!C36&lt;&gt;"",Input_Form!C37&lt;&gt;""),
Shell_Inputs!C6 * Shell_Inputs!C9 * (Input_Form!C36 - Input_Form!C37),
""
)</f>
        <v>233499.4444444445</v>
      </c>
      <c r="D5" t="s">
        <v>338</v>
      </c>
    </row>
    <row r="6" spans="2:5" x14ac:dyDescent="0.3">
      <c r="B6" t="s">
        <v>339</v>
      </c>
      <c r="C6" s="39">
        <f>IF(
AND(C4&lt;&gt;"",C5&lt;&gt;""),
ABS(C4 - C5) / AVERAGE(ABS(C4),ABS(C5)),
""
)</f>
        <v>2</v>
      </c>
      <c r="D6" t="s">
        <v>151</v>
      </c>
    </row>
    <row r="7" spans="2:5" x14ac:dyDescent="0.3">
      <c r="B7" t="s">
        <v>340</v>
      </c>
      <c r="C7" t="str">
        <f>IF(
 C6="","",
 IF(C6&lt;=0.1,"✅ OK",
 IF(C6&lt;=0.2,"⚠ Review",
 "❌ Check Data"))
)</f>
        <v>❌ Check Data</v>
      </c>
    </row>
    <row r="9" spans="2:5" x14ac:dyDescent="0.3">
      <c r="B9" t="s">
        <v>347</v>
      </c>
      <c r="C9">
        <f>IF(
AND(C4&lt;&gt;"",C5&lt;&gt;""),
AVERAGE(ABS(C4),ABS(C5)),
""
)</f>
        <v>251916.38888888891</v>
      </c>
      <c r="D9" t="s">
        <v>338</v>
      </c>
      <c r="E9" t="s">
        <v>348</v>
      </c>
    </row>
    <row r="10" spans="2:5" x14ac:dyDescent="0.3">
      <c r="B10" t="s">
        <v>341</v>
      </c>
      <c r="C10" s="37" t="str">
        <f>IF(Input_Form!C34&gt;Input_Form!C36,"Tube","Shell")</f>
        <v>Tube</v>
      </c>
    </row>
    <row r="11" spans="2:5" x14ac:dyDescent="0.3">
      <c r="B11" t="s">
        <v>342</v>
      </c>
      <c r="C11" s="37">
        <f>IF(
C2="Counter-current",
MAX(Input_Form!C34,Input_Form!C36)-MIN(Input_Form!C35,Input_Form!C37),
MAX(Input_Form!C34,Input_Form!C36)-MIN(Input_Form!C36,Input_Form!C34)
)</f>
        <v>20</v>
      </c>
      <c r="D11" t="s">
        <v>330</v>
      </c>
    </row>
    <row r="12" spans="2:5" x14ac:dyDescent="0.3">
      <c r="B12" t="s">
        <v>343</v>
      </c>
      <c r="C12" s="37">
        <f>IF(
C2="Counter-current",
MIN(Input_Form!C34,Input_Form!C36)-MAX(Input_Form!C37,Input_Form!C35),
MAX(Input_Form!C35,Input_Form!C37)-MIN(Input_Form!C34,Input_Form!C36)
)</f>
        <v>10</v>
      </c>
      <c r="D12" t="s">
        <v>330</v>
      </c>
    </row>
    <row r="14" spans="2:5" x14ac:dyDescent="0.3">
      <c r="B14" t="s">
        <v>344</v>
      </c>
      <c r="C14" s="40">
        <f>IF(
AND(C11&gt;0,C12&gt;0),
(C11-C12)/LN(C11/C12),
""
)</f>
        <v>14.426950408889635</v>
      </c>
      <c r="D14" t="s">
        <v>330</v>
      </c>
    </row>
    <row r="16" spans="2:5" x14ac:dyDescent="0.3">
      <c r="B16" t="s">
        <v>345</v>
      </c>
      <c r="C16">
        <f>Overall_Rating!B2*Overall_Rating!B4*Energy_Check!C14</f>
        <v>221361.36840022745</v>
      </c>
      <c r="D16" t="s">
        <v>338</v>
      </c>
    </row>
    <row r="18" spans="2:3" x14ac:dyDescent="0.3">
      <c r="B18" t="s">
        <v>351</v>
      </c>
      <c r="C18" t="str">
        <f>IF(
OR(C11&lt;=0, C12&lt;=0),
"❌ Invalid ΔT",
IF(
C2="Co-current",
"⚠ Co-current flow",
IF(
ABS(C11-C12)/MAX(C11,C12)&lt;0.05,
"⚠ ΔT nearly equal",
"✅ LMTD OK"
)
)
)</f>
        <v>✅ LMTD OK</v>
      </c>
    </row>
  </sheetData>
  <conditionalFormatting sqref="C7:C8">
    <cfRule type="cellIs" dxfId="2" priority="1" operator="equal">
      <formula>"❌ Check Data"</formula>
    </cfRule>
    <cfRule type="cellIs" dxfId="1" priority="2" operator="equal">
      <formula>"⚠ Review"</formula>
    </cfRule>
    <cfRule type="cellIs" dxfId="0" priority="3" operator="equal">
      <formula>"✅ OK"</formula>
    </cfRule>
  </conditionalFormatting>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2CD1C1-B780-4DAC-A20D-3B56AF004727}">
  <dimension ref="A1:R43"/>
  <sheetViews>
    <sheetView zoomScale="83" zoomScaleNormal="83" workbookViewId="0">
      <selection activeCell="M27" sqref="M27"/>
    </sheetView>
  </sheetViews>
  <sheetFormatPr defaultRowHeight="14.4" x14ac:dyDescent="0.3"/>
  <cols>
    <col min="1" max="1" width="19.77734375" bestFit="1" customWidth="1"/>
    <col min="2" max="2" width="13.77734375" bestFit="1" customWidth="1"/>
    <col min="3" max="3" width="13.109375" bestFit="1" customWidth="1"/>
    <col min="10" max="10" width="12.77734375" style="37" customWidth="1"/>
    <col min="11" max="11" width="17.77734375" style="37" customWidth="1"/>
    <col min="12" max="12" width="30.5546875" style="37" customWidth="1"/>
    <col min="13" max="13" width="18.88671875" style="37" customWidth="1"/>
    <col min="14" max="14" width="34.77734375" customWidth="1"/>
    <col min="15" max="15" width="17.77734375" customWidth="1"/>
    <col min="16" max="16" width="26.5546875" customWidth="1"/>
    <col min="17" max="17" width="28.44140625" customWidth="1"/>
  </cols>
  <sheetData>
    <row r="1" spans="1:15" ht="28.8" x14ac:dyDescent="0.3">
      <c r="A1" t="s">
        <v>210</v>
      </c>
      <c r="B1" t="s">
        <v>211</v>
      </c>
      <c r="C1" t="s">
        <v>212</v>
      </c>
      <c r="D1" t="s">
        <v>213</v>
      </c>
      <c r="E1" t="s">
        <v>214</v>
      </c>
      <c r="F1" t="s">
        <v>242</v>
      </c>
      <c r="G1" t="s">
        <v>243</v>
      </c>
      <c r="H1" t="s">
        <v>244</v>
      </c>
      <c r="I1" t="s">
        <v>245</v>
      </c>
      <c r="J1" s="37" t="s">
        <v>721</v>
      </c>
      <c r="K1" s="24" t="s">
        <v>802</v>
      </c>
      <c r="L1" s="24" t="s">
        <v>722</v>
      </c>
      <c r="M1" s="35" t="s">
        <v>780</v>
      </c>
      <c r="N1" s="35" t="s">
        <v>781</v>
      </c>
      <c r="O1" s="35"/>
    </row>
    <row r="2" spans="1:15" x14ac:dyDescent="0.3">
      <c r="A2" t="s">
        <v>215</v>
      </c>
      <c r="B2">
        <v>998</v>
      </c>
      <c r="C2">
        <v>1E-3</v>
      </c>
      <c r="D2">
        <v>4180</v>
      </c>
      <c r="E2">
        <v>0.6</v>
      </c>
      <c r="F2">
        <v>2.9999999999999997E-4</v>
      </c>
      <c r="G2">
        <v>1200</v>
      </c>
      <c r="H2">
        <v>1E-4</v>
      </c>
      <c r="I2">
        <v>2.0000000000000001E-4</v>
      </c>
      <c r="J2" s="22" t="s">
        <v>723</v>
      </c>
      <c r="K2" s="35">
        <v>50</v>
      </c>
      <c r="L2" s="22" t="s">
        <v>724</v>
      </c>
      <c r="M2" s="35">
        <v>100</v>
      </c>
      <c r="N2" s="22" t="s">
        <v>782</v>
      </c>
      <c r="O2" s="22"/>
    </row>
    <row r="3" spans="1:15" x14ac:dyDescent="0.3">
      <c r="A3" t="s">
        <v>216</v>
      </c>
      <c r="B3">
        <v>792</v>
      </c>
      <c r="C3">
        <v>5.9000000000000003E-4</v>
      </c>
      <c r="D3">
        <v>2530</v>
      </c>
      <c r="E3">
        <v>0.2</v>
      </c>
      <c r="F3">
        <v>1.1000000000000001E-3</v>
      </c>
      <c r="G3">
        <v>1600</v>
      </c>
      <c r="H3">
        <v>4.0000000000000002E-4</v>
      </c>
      <c r="I3">
        <v>2.9999999999999997E-4</v>
      </c>
      <c r="J3" s="22" t="s">
        <v>733</v>
      </c>
      <c r="K3" s="35">
        <v>80</v>
      </c>
      <c r="L3" s="22" t="s">
        <v>734</v>
      </c>
      <c r="M3" s="35">
        <v>150</v>
      </c>
      <c r="N3" s="22" t="s">
        <v>783</v>
      </c>
      <c r="O3" s="22"/>
    </row>
    <row r="4" spans="1:15" x14ac:dyDescent="0.3">
      <c r="A4" t="s">
        <v>217</v>
      </c>
      <c r="B4">
        <v>789</v>
      </c>
      <c r="C4">
        <v>1.1999999999999999E-3</v>
      </c>
      <c r="D4">
        <v>2440</v>
      </c>
      <c r="E4">
        <v>0.17</v>
      </c>
      <c r="F4">
        <v>1.08E-3</v>
      </c>
      <c r="G4">
        <v>1700</v>
      </c>
      <c r="H4">
        <v>4.0000000000000002E-4</v>
      </c>
      <c r="I4">
        <v>2.9999999999999997E-4</v>
      </c>
      <c r="J4" s="22" t="s">
        <v>733</v>
      </c>
      <c r="K4" s="35">
        <v>80</v>
      </c>
      <c r="L4" s="22" t="s">
        <v>734</v>
      </c>
      <c r="M4" s="35">
        <v>150</v>
      </c>
      <c r="N4" s="22" t="s">
        <v>784</v>
      </c>
      <c r="O4" s="22"/>
    </row>
    <row r="5" spans="1:15" x14ac:dyDescent="0.3">
      <c r="A5" t="s">
        <v>218</v>
      </c>
      <c r="B5">
        <v>785</v>
      </c>
      <c r="C5">
        <v>2.3999999999999998E-3</v>
      </c>
      <c r="D5">
        <v>2600</v>
      </c>
      <c r="E5">
        <v>0.16</v>
      </c>
      <c r="F5">
        <v>1.0499999999999999E-3</v>
      </c>
      <c r="G5">
        <v>1800</v>
      </c>
      <c r="H5">
        <v>4.4999999999999999E-4</v>
      </c>
      <c r="I5">
        <v>3.5E-4</v>
      </c>
      <c r="J5" s="22" t="s">
        <v>733</v>
      </c>
      <c r="K5" s="35">
        <v>90</v>
      </c>
      <c r="L5" s="22" t="s">
        <v>735</v>
      </c>
      <c r="M5" s="35">
        <v>150</v>
      </c>
      <c r="N5" s="22" t="s">
        <v>785</v>
      </c>
      <c r="O5" s="22"/>
    </row>
    <row r="6" spans="1:15" x14ac:dyDescent="0.3">
      <c r="A6" t="s">
        <v>219</v>
      </c>
      <c r="B6">
        <v>784</v>
      </c>
      <c r="C6">
        <v>3.2000000000000003E-4</v>
      </c>
      <c r="D6">
        <v>2150</v>
      </c>
      <c r="E6">
        <v>0.18</v>
      </c>
      <c r="F6">
        <v>1.2999999999999999E-3</v>
      </c>
      <c r="G6">
        <v>1400</v>
      </c>
      <c r="H6">
        <v>3.5E-4</v>
      </c>
      <c r="I6">
        <v>4.0000000000000002E-4</v>
      </c>
      <c r="J6" s="22" t="s">
        <v>736</v>
      </c>
      <c r="K6" s="35">
        <v>80</v>
      </c>
      <c r="L6" s="22" t="s">
        <v>737</v>
      </c>
      <c r="M6" s="35">
        <v>150</v>
      </c>
      <c r="N6" s="22" t="s">
        <v>737</v>
      </c>
      <c r="O6" s="22"/>
    </row>
    <row r="7" spans="1:15" x14ac:dyDescent="0.3">
      <c r="A7" t="s">
        <v>220</v>
      </c>
      <c r="B7">
        <v>867</v>
      </c>
      <c r="C7">
        <v>5.9000000000000003E-4</v>
      </c>
      <c r="D7">
        <v>1700</v>
      </c>
      <c r="E7">
        <v>0.13</v>
      </c>
      <c r="F7">
        <v>9.5E-4</v>
      </c>
      <c r="G7">
        <v>1800</v>
      </c>
      <c r="H7">
        <v>2.9999999999999997E-4</v>
      </c>
      <c r="I7">
        <v>2.5000000000000001E-4</v>
      </c>
      <c r="J7" s="22" t="s">
        <v>738</v>
      </c>
      <c r="K7" s="35">
        <v>100</v>
      </c>
      <c r="L7" s="22" t="s">
        <v>739</v>
      </c>
      <c r="M7" s="35">
        <v>180</v>
      </c>
      <c r="N7" s="22" t="s">
        <v>786</v>
      </c>
      <c r="O7" s="22"/>
    </row>
    <row r="8" spans="1:15" x14ac:dyDescent="0.3">
      <c r="A8" t="s">
        <v>221</v>
      </c>
      <c r="B8">
        <v>876</v>
      </c>
      <c r="C8">
        <v>6.4999999999999997E-4</v>
      </c>
      <c r="D8">
        <v>1740</v>
      </c>
      <c r="E8">
        <v>0.15</v>
      </c>
      <c r="F8">
        <v>1E-3</v>
      </c>
      <c r="G8">
        <v>1700</v>
      </c>
      <c r="H8">
        <v>2.9999999999999997E-4</v>
      </c>
      <c r="I8">
        <v>2.5000000000000001E-4</v>
      </c>
      <c r="J8" s="22" t="s">
        <v>738</v>
      </c>
      <c r="K8" s="35">
        <v>100</v>
      </c>
      <c r="L8" s="22" t="s">
        <v>740</v>
      </c>
      <c r="M8" s="35">
        <v>180</v>
      </c>
      <c r="N8" s="22" t="s">
        <v>740</v>
      </c>
      <c r="O8" s="22"/>
    </row>
    <row r="9" spans="1:15" x14ac:dyDescent="0.3">
      <c r="A9" t="s">
        <v>222</v>
      </c>
      <c r="B9">
        <v>860</v>
      </c>
      <c r="C9">
        <v>7.2999999999999996E-4</v>
      </c>
      <c r="D9">
        <v>1700</v>
      </c>
      <c r="E9">
        <v>0.14000000000000001</v>
      </c>
      <c r="F9">
        <v>8.9999999999999998E-4</v>
      </c>
      <c r="G9">
        <v>1900</v>
      </c>
      <c r="H9">
        <v>2.9999999999999997E-4</v>
      </c>
      <c r="I9">
        <v>2.5000000000000001E-4</v>
      </c>
      <c r="J9" s="22" t="s">
        <v>738</v>
      </c>
      <c r="K9" s="35">
        <v>120</v>
      </c>
      <c r="L9" s="22" t="s">
        <v>727</v>
      </c>
      <c r="M9" s="35">
        <v>200</v>
      </c>
      <c r="N9" s="22" t="s">
        <v>787</v>
      </c>
      <c r="O9" s="22"/>
    </row>
    <row r="10" spans="1:15" x14ac:dyDescent="0.3">
      <c r="A10" t="s">
        <v>223</v>
      </c>
      <c r="B10">
        <v>1840</v>
      </c>
      <c r="C10">
        <v>2.4E-2</v>
      </c>
      <c r="D10">
        <v>1380</v>
      </c>
      <c r="E10">
        <v>0.5</v>
      </c>
      <c r="F10">
        <v>5.0000000000000001E-4</v>
      </c>
      <c r="G10">
        <v>3500</v>
      </c>
      <c r="H10">
        <v>2.0000000000000001E-4</v>
      </c>
      <c r="I10">
        <v>2.9999999999999997E-4</v>
      </c>
      <c r="J10" s="22" t="s">
        <v>749</v>
      </c>
      <c r="K10" s="35">
        <v>60</v>
      </c>
      <c r="L10" s="22" t="s">
        <v>751</v>
      </c>
      <c r="M10" s="35">
        <v>80</v>
      </c>
      <c r="N10" s="22" t="s">
        <v>788</v>
      </c>
      <c r="O10" s="22"/>
    </row>
    <row r="11" spans="1:15" x14ac:dyDescent="0.3">
      <c r="A11" t="s">
        <v>224</v>
      </c>
      <c r="B11">
        <v>1400</v>
      </c>
      <c r="C11">
        <v>7.0000000000000001E-3</v>
      </c>
      <c r="D11">
        <v>2900</v>
      </c>
      <c r="E11">
        <v>0.43</v>
      </c>
      <c r="F11">
        <v>5.5000000000000003E-4</v>
      </c>
      <c r="G11">
        <v>2800</v>
      </c>
      <c r="H11">
        <v>2.5000000000000001E-4</v>
      </c>
      <c r="I11">
        <v>2.9999999999999997E-4</v>
      </c>
      <c r="J11" s="22" t="s">
        <v>749</v>
      </c>
      <c r="K11" s="35">
        <v>80</v>
      </c>
      <c r="L11" s="22" t="s">
        <v>750</v>
      </c>
      <c r="M11" s="35">
        <v>100</v>
      </c>
      <c r="N11" s="22" t="s">
        <v>789</v>
      </c>
      <c r="O11" s="22"/>
    </row>
    <row r="12" spans="1:15" x14ac:dyDescent="0.3">
      <c r="A12" t="s">
        <v>225</v>
      </c>
      <c r="B12">
        <v>1150</v>
      </c>
      <c r="C12">
        <v>1.9E-3</v>
      </c>
      <c r="D12">
        <v>3200</v>
      </c>
      <c r="E12">
        <v>0.45</v>
      </c>
      <c r="F12">
        <v>4.4999999999999999E-4</v>
      </c>
      <c r="G12">
        <v>2000</v>
      </c>
      <c r="H12">
        <v>2.0000000000000001E-4</v>
      </c>
      <c r="I12">
        <v>2.5000000000000001E-4</v>
      </c>
      <c r="J12" s="22" t="s">
        <v>749</v>
      </c>
      <c r="K12" s="35">
        <v>70</v>
      </c>
      <c r="L12" s="22" t="s">
        <v>752</v>
      </c>
      <c r="M12" s="35">
        <v>70</v>
      </c>
      <c r="N12" s="22" t="s">
        <v>790</v>
      </c>
      <c r="O12" s="22"/>
    </row>
    <row r="13" spans="1:15" x14ac:dyDescent="0.3">
      <c r="A13" t="s">
        <v>226</v>
      </c>
      <c r="B13">
        <v>1510</v>
      </c>
      <c r="C13">
        <v>1.1999999999999999E-3</v>
      </c>
      <c r="D13">
        <v>1800</v>
      </c>
      <c r="E13">
        <v>0.45</v>
      </c>
      <c r="F13">
        <v>5.5000000000000003E-4</v>
      </c>
      <c r="G13">
        <v>2200</v>
      </c>
      <c r="H13">
        <v>2.0000000000000001E-4</v>
      </c>
      <c r="I13">
        <v>2.5000000000000001E-4</v>
      </c>
      <c r="J13" s="22" t="s">
        <v>749</v>
      </c>
      <c r="K13" s="35">
        <v>60</v>
      </c>
      <c r="L13" s="22" t="s">
        <v>753</v>
      </c>
      <c r="M13" s="35">
        <v>80</v>
      </c>
      <c r="N13" s="22" t="s">
        <v>791</v>
      </c>
      <c r="O13" s="22"/>
    </row>
    <row r="14" spans="1:15" x14ac:dyDescent="0.3">
      <c r="A14" t="s">
        <v>227</v>
      </c>
      <c r="B14">
        <v>1520</v>
      </c>
      <c r="C14">
        <v>5.0000000000000001E-3</v>
      </c>
      <c r="D14">
        <v>3300</v>
      </c>
      <c r="E14">
        <v>0.45</v>
      </c>
      <c r="F14">
        <v>4.0000000000000002E-4</v>
      </c>
      <c r="G14">
        <v>3000</v>
      </c>
      <c r="H14">
        <v>2.5000000000000001E-4</v>
      </c>
      <c r="I14">
        <v>2.5000000000000001E-4</v>
      </c>
      <c r="J14" s="22" t="s">
        <v>754</v>
      </c>
      <c r="K14" s="35">
        <v>80</v>
      </c>
      <c r="L14" s="22" t="s">
        <v>742</v>
      </c>
      <c r="M14" s="35">
        <v>120</v>
      </c>
      <c r="N14" s="22" t="s">
        <v>792</v>
      </c>
      <c r="O14" s="22"/>
    </row>
    <row r="15" spans="1:15" x14ac:dyDescent="0.3">
      <c r="A15" t="s">
        <v>228</v>
      </c>
      <c r="B15">
        <v>1110</v>
      </c>
      <c r="C15">
        <v>1.6E-2</v>
      </c>
      <c r="D15">
        <v>2400</v>
      </c>
      <c r="E15">
        <v>0.25</v>
      </c>
      <c r="F15">
        <v>5.9999999999999995E-4</v>
      </c>
      <c r="G15">
        <v>3500</v>
      </c>
      <c r="H15">
        <v>2.5000000000000001E-4</v>
      </c>
      <c r="I15">
        <v>2.0000000000000001E-4</v>
      </c>
      <c r="J15" s="22" t="s">
        <v>745</v>
      </c>
      <c r="K15" s="35">
        <v>120</v>
      </c>
      <c r="L15" s="22" t="s">
        <v>742</v>
      </c>
      <c r="M15" s="35">
        <v>200</v>
      </c>
      <c r="N15" s="22" t="s">
        <v>742</v>
      </c>
      <c r="O15" s="22"/>
    </row>
    <row r="16" spans="1:15" x14ac:dyDescent="0.3">
      <c r="A16" t="s">
        <v>229</v>
      </c>
      <c r="B16">
        <v>1035</v>
      </c>
      <c r="C16">
        <v>4.2000000000000003E-2</v>
      </c>
      <c r="D16">
        <v>2400</v>
      </c>
      <c r="E16">
        <v>0.21</v>
      </c>
      <c r="F16">
        <v>5.5000000000000003E-4</v>
      </c>
      <c r="G16">
        <v>4200</v>
      </c>
      <c r="H16">
        <v>2.5000000000000001E-4</v>
      </c>
      <c r="I16">
        <v>2.0000000000000001E-4</v>
      </c>
      <c r="J16" s="22" t="s">
        <v>745</v>
      </c>
      <c r="K16" s="35">
        <v>150</v>
      </c>
      <c r="L16" s="22" t="s">
        <v>746</v>
      </c>
      <c r="M16" s="35">
        <v>220</v>
      </c>
      <c r="N16" s="22" t="s">
        <v>793</v>
      </c>
      <c r="O16" s="22"/>
    </row>
    <row r="17" spans="1:18" x14ac:dyDescent="0.3">
      <c r="A17" t="s">
        <v>230</v>
      </c>
      <c r="B17">
        <v>1070</v>
      </c>
      <c r="C17">
        <v>5.0000000000000001E-3</v>
      </c>
      <c r="D17">
        <v>3300</v>
      </c>
      <c r="E17">
        <v>0.39</v>
      </c>
      <c r="F17">
        <v>4.4999999999999999E-4</v>
      </c>
      <c r="G17">
        <v>2600</v>
      </c>
      <c r="H17">
        <v>2.0000000000000001E-4</v>
      </c>
      <c r="I17">
        <v>2.0000000000000001E-4</v>
      </c>
      <c r="J17" s="22" t="s">
        <v>747</v>
      </c>
      <c r="K17" s="35">
        <v>100</v>
      </c>
      <c r="L17" s="22" t="s">
        <v>748</v>
      </c>
      <c r="M17" s="35">
        <v>180</v>
      </c>
      <c r="N17" s="22" t="s">
        <v>748</v>
      </c>
      <c r="O17" s="22"/>
    </row>
    <row r="18" spans="1:18" x14ac:dyDescent="0.3">
      <c r="A18" t="s">
        <v>231</v>
      </c>
      <c r="B18">
        <v>830</v>
      </c>
      <c r="C18">
        <v>3.0000000000000001E-3</v>
      </c>
      <c r="D18">
        <v>2100</v>
      </c>
      <c r="E18">
        <v>0.13</v>
      </c>
      <c r="F18">
        <v>8.0000000000000004E-4</v>
      </c>
      <c r="G18">
        <v>2500</v>
      </c>
      <c r="H18">
        <v>2.5000000000000001E-4</v>
      </c>
      <c r="I18">
        <v>2.0000000000000001E-4</v>
      </c>
      <c r="J18" s="22" t="s">
        <v>741</v>
      </c>
      <c r="K18" s="35">
        <v>150</v>
      </c>
      <c r="L18" s="22" t="s">
        <v>742</v>
      </c>
      <c r="M18" s="35">
        <v>250</v>
      </c>
      <c r="N18" s="22" t="s">
        <v>794</v>
      </c>
      <c r="O18" s="22"/>
    </row>
    <row r="19" spans="1:18" x14ac:dyDescent="0.3">
      <c r="A19" t="s">
        <v>232</v>
      </c>
      <c r="B19">
        <v>800</v>
      </c>
      <c r="C19">
        <v>2E-3</v>
      </c>
      <c r="D19">
        <v>2100</v>
      </c>
      <c r="E19">
        <v>0.14000000000000001</v>
      </c>
      <c r="F19">
        <v>8.4999999999999995E-4</v>
      </c>
      <c r="G19">
        <v>2200</v>
      </c>
      <c r="H19">
        <v>2.5000000000000001E-4</v>
      </c>
      <c r="I19">
        <v>2.0000000000000001E-4</v>
      </c>
      <c r="J19" s="22" t="s">
        <v>743</v>
      </c>
      <c r="K19" s="35">
        <v>120</v>
      </c>
      <c r="L19" s="22" t="s">
        <v>744</v>
      </c>
      <c r="M19" s="35">
        <v>220</v>
      </c>
      <c r="N19" s="22" t="s">
        <v>795</v>
      </c>
      <c r="O19" s="22"/>
    </row>
    <row r="20" spans="1:18" x14ac:dyDescent="0.3">
      <c r="A20" t="s">
        <v>233</v>
      </c>
      <c r="B20">
        <v>998</v>
      </c>
      <c r="C20">
        <v>1E-3</v>
      </c>
      <c r="D20">
        <v>4180</v>
      </c>
      <c r="E20">
        <v>0.6</v>
      </c>
      <c r="F20">
        <v>2.9999999999999997E-4</v>
      </c>
      <c r="G20">
        <v>1200</v>
      </c>
      <c r="H20">
        <v>1E-4</v>
      </c>
      <c r="I20">
        <v>2.0000000000000001E-4</v>
      </c>
      <c r="J20" s="22" t="s">
        <v>723</v>
      </c>
      <c r="K20" s="35">
        <v>50</v>
      </c>
      <c r="L20" s="22" t="s">
        <v>725</v>
      </c>
      <c r="M20" s="35">
        <v>120</v>
      </c>
      <c r="N20" s="22" t="s">
        <v>796</v>
      </c>
      <c r="O20" s="22"/>
    </row>
    <row r="21" spans="1:18" x14ac:dyDescent="0.3">
      <c r="A21" t="s">
        <v>234</v>
      </c>
      <c r="B21">
        <v>1.2</v>
      </c>
      <c r="C21">
        <v>1.8E-5</v>
      </c>
      <c r="D21">
        <v>1005</v>
      </c>
      <c r="E21">
        <v>2.5999999999999999E-2</v>
      </c>
      <c r="F21">
        <v>3.3999999999999998E-3</v>
      </c>
      <c r="G21">
        <v>800</v>
      </c>
      <c r="H21">
        <v>1E-4</v>
      </c>
      <c r="I21">
        <v>1E-4</v>
      </c>
      <c r="J21" s="22" t="s">
        <v>730</v>
      </c>
      <c r="K21" s="35">
        <v>20</v>
      </c>
      <c r="L21" s="22" t="s">
        <v>731</v>
      </c>
      <c r="M21" s="35">
        <v>30</v>
      </c>
      <c r="N21" s="22" t="s">
        <v>797</v>
      </c>
      <c r="O21" s="22"/>
    </row>
    <row r="22" spans="1:18" x14ac:dyDescent="0.3">
      <c r="A22" s="22" t="s">
        <v>235</v>
      </c>
      <c r="B22" s="22">
        <v>995</v>
      </c>
      <c r="C22" s="22">
        <v>8.0000000000000004E-4</v>
      </c>
      <c r="D22" s="22">
        <v>4200</v>
      </c>
      <c r="E22" s="22">
        <v>0.61</v>
      </c>
      <c r="F22" s="22">
        <v>3.5E-4</v>
      </c>
      <c r="G22" s="22">
        <v>1100</v>
      </c>
      <c r="H22" s="22">
        <v>1E-4</v>
      </c>
      <c r="I22" s="22">
        <v>2.5000000000000001E-4</v>
      </c>
      <c r="J22" s="22" t="s">
        <v>723</v>
      </c>
      <c r="K22" s="35">
        <v>40</v>
      </c>
      <c r="L22" s="22" t="s">
        <v>726</v>
      </c>
      <c r="M22" s="35">
        <v>80</v>
      </c>
      <c r="N22" s="22" t="s">
        <v>798</v>
      </c>
      <c r="O22" s="22"/>
    </row>
    <row r="23" spans="1:18" x14ac:dyDescent="0.3">
      <c r="A23" s="22" t="s">
        <v>236</v>
      </c>
      <c r="B23" s="22">
        <v>1000</v>
      </c>
      <c r="C23" s="22">
        <v>1.5E-3</v>
      </c>
      <c r="D23" s="22">
        <v>4180</v>
      </c>
      <c r="E23" s="22">
        <v>0.57999999999999996</v>
      </c>
      <c r="F23" s="22">
        <v>2.5000000000000001E-4</v>
      </c>
      <c r="G23" s="22">
        <v>1300</v>
      </c>
      <c r="H23" s="22">
        <v>1E-4</v>
      </c>
      <c r="I23" s="22">
        <v>1.4999999999999999E-4</v>
      </c>
      <c r="J23" s="22" t="s">
        <v>723</v>
      </c>
      <c r="K23" s="35">
        <v>60</v>
      </c>
      <c r="L23" s="22" t="s">
        <v>727</v>
      </c>
      <c r="M23" s="35">
        <v>100</v>
      </c>
      <c r="N23" s="22" t="s">
        <v>799</v>
      </c>
      <c r="O23" s="22"/>
    </row>
    <row r="24" spans="1:18" x14ac:dyDescent="0.3">
      <c r="A24" s="22" t="s">
        <v>237</v>
      </c>
      <c r="B24" s="22">
        <v>972</v>
      </c>
      <c r="C24" s="22">
        <v>3.6000000000000002E-4</v>
      </c>
      <c r="D24" s="22">
        <v>4190</v>
      </c>
      <c r="E24" s="22">
        <v>0.67</v>
      </c>
      <c r="F24" s="22">
        <v>3.5E-4</v>
      </c>
      <c r="G24" s="22">
        <v>1100</v>
      </c>
      <c r="H24" s="22">
        <v>1E-4</v>
      </c>
      <c r="I24" s="22">
        <v>2.5000000000000001E-4</v>
      </c>
      <c r="J24" s="22" t="s">
        <v>723</v>
      </c>
      <c r="K24" s="35">
        <v>70</v>
      </c>
      <c r="L24" s="22" t="s">
        <v>728</v>
      </c>
      <c r="M24" s="35">
        <v>120</v>
      </c>
      <c r="N24" s="22" t="s">
        <v>728</v>
      </c>
      <c r="O24" s="22"/>
    </row>
    <row r="25" spans="1:18" x14ac:dyDescent="0.3">
      <c r="A25" s="22" t="s">
        <v>238</v>
      </c>
      <c r="B25" s="22">
        <v>0.6</v>
      </c>
      <c r="C25" s="27">
        <v>1.2999999999999999E-5</v>
      </c>
      <c r="D25" s="22">
        <v>2010</v>
      </c>
      <c r="E25" s="22">
        <v>2.5000000000000001E-2</v>
      </c>
      <c r="F25" s="22">
        <v>3.0000000000000001E-3</v>
      </c>
      <c r="G25" s="22">
        <v>800</v>
      </c>
      <c r="H25" s="22">
        <v>5.0000000000000001E-4</v>
      </c>
      <c r="I25" s="22">
        <v>2.9999999999999997E-4</v>
      </c>
      <c r="J25" s="22" t="s">
        <v>723</v>
      </c>
      <c r="K25" s="35">
        <v>20</v>
      </c>
      <c r="L25" s="22" t="s">
        <v>729</v>
      </c>
      <c r="M25" s="35">
        <v>15</v>
      </c>
      <c r="N25" s="22" t="s">
        <v>800</v>
      </c>
      <c r="O25" s="22"/>
      <c r="R25" t="s">
        <v>246</v>
      </c>
    </row>
    <row r="26" spans="1:18" x14ac:dyDescent="0.3">
      <c r="A26" s="22" t="s">
        <v>239</v>
      </c>
      <c r="B26" s="22">
        <v>1.18</v>
      </c>
      <c r="C26" s="27">
        <v>1.7600000000000001E-5</v>
      </c>
      <c r="D26" s="22">
        <v>1040</v>
      </c>
      <c r="E26" s="22">
        <v>2.5999999999999999E-2</v>
      </c>
      <c r="F26" s="22">
        <v>3.3999999999999998E-3</v>
      </c>
      <c r="G26" s="22">
        <v>800</v>
      </c>
      <c r="H26" s="22">
        <v>5.0000000000000001E-4</v>
      </c>
      <c r="I26" s="22">
        <v>2.9999999999999997E-4</v>
      </c>
      <c r="J26" s="22" t="s">
        <v>730</v>
      </c>
      <c r="K26" s="35">
        <v>30</v>
      </c>
      <c r="L26" s="22" t="s">
        <v>732</v>
      </c>
      <c r="M26" s="35">
        <v>25</v>
      </c>
      <c r="N26" s="22" t="s">
        <v>801</v>
      </c>
      <c r="O26" s="22"/>
    </row>
    <row r="28" spans="1:18" x14ac:dyDescent="0.3">
      <c r="K28" s="61" t="s">
        <v>763</v>
      </c>
      <c r="M28" t="s">
        <v>803</v>
      </c>
    </row>
    <row r="29" spans="1:18" x14ac:dyDescent="0.3">
      <c r="K29" s="31" t="s">
        <v>756</v>
      </c>
      <c r="M29" t="s">
        <v>804</v>
      </c>
    </row>
    <row r="30" spans="1:18" x14ac:dyDescent="0.3">
      <c r="K30" s="31" t="s">
        <v>757</v>
      </c>
    </row>
    <row r="31" spans="1:18" x14ac:dyDescent="0.3">
      <c r="K31" s="33"/>
      <c r="L31" s="33" t="s">
        <v>758</v>
      </c>
    </row>
    <row r="32" spans="1:18" x14ac:dyDescent="0.3">
      <c r="L32" s="33" t="s">
        <v>759</v>
      </c>
    </row>
    <row r="33" spans="11:12" x14ac:dyDescent="0.3">
      <c r="K33" s="33"/>
      <c r="L33" s="33" t="s">
        <v>760</v>
      </c>
    </row>
    <row r="34" spans="11:12" x14ac:dyDescent="0.3">
      <c r="K34" s="31" t="s">
        <v>761</v>
      </c>
    </row>
    <row r="35" spans="11:12" x14ac:dyDescent="0.3">
      <c r="K35" s="33"/>
      <c r="L35" s="48" t="s">
        <v>762</v>
      </c>
    </row>
    <row r="36" spans="11:12" x14ac:dyDescent="0.3">
      <c r="L36" s="48" t="s">
        <v>705</v>
      </c>
    </row>
    <row r="37" spans="11:12" x14ac:dyDescent="0.3">
      <c r="K37" s="31"/>
    </row>
    <row r="39" spans="11:12" x14ac:dyDescent="0.3">
      <c r="K39" s="31"/>
    </row>
    <row r="40" spans="11:12" x14ac:dyDescent="0.3">
      <c r="K40" s="31"/>
    </row>
    <row r="41" spans="11:12" x14ac:dyDescent="0.3">
      <c r="K41" s="33"/>
    </row>
    <row r="43" spans="11:12" x14ac:dyDescent="0.3">
      <c r="K43" s="33"/>
    </row>
  </sheetData>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AAD4B-6F28-4E0D-8EA1-755C9700D1E4}">
  <dimension ref="B2:C149"/>
  <sheetViews>
    <sheetView workbookViewId="0">
      <selection activeCell="B98" sqref="B98"/>
    </sheetView>
  </sheetViews>
  <sheetFormatPr defaultRowHeight="14.4" x14ac:dyDescent="0.3"/>
  <cols>
    <col min="2" max="2" width="13.109375" customWidth="1"/>
    <col min="3" max="3" width="10.21875" customWidth="1"/>
  </cols>
  <sheetData>
    <row r="2" spans="2:2" ht="31.2" x14ac:dyDescent="0.3">
      <c r="B2" s="28" t="s">
        <v>247</v>
      </c>
    </row>
    <row r="5" spans="2:2" ht="23.4" x14ac:dyDescent="0.3">
      <c r="B5" s="29" t="s">
        <v>248</v>
      </c>
    </row>
    <row r="7" spans="2:2" ht="18" x14ac:dyDescent="0.3">
      <c r="B7" s="30" t="s">
        <v>249</v>
      </c>
    </row>
    <row r="9" spans="2:2" x14ac:dyDescent="0.3">
      <c r="B9" t="s">
        <v>250</v>
      </c>
    </row>
    <row r="11" spans="2:2" ht="18" x14ac:dyDescent="0.3">
      <c r="B11" s="30" t="s">
        <v>251</v>
      </c>
    </row>
    <row r="12" spans="2:2" x14ac:dyDescent="0.3">
      <c r="B12" s="31"/>
    </row>
    <row r="13" spans="2:2" x14ac:dyDescent="0.3">
      <c r="B13" s="32" t="s">
        <v>252</v>
      </c>
    </row>
    <row r="14" spans="2:2" x14ac:dyDescent="0.3">
      <c r="B14" s="31"/>
    </row>
    <row r="15" spans="2:2" x14ac:dyDescent="0.3">
      <c r="B15" s="33" t="s">
        <v>253</v>
      </c>
    </row>
    <row r="16" spans="2:2" x14ac:dyDescent="0.3">
      <c r="B16" s="33" t="s">
        <v>254</v>
      </c>
    </row>
    <row r="17" spans="2:2" x14ac:dyDescent="0.3">
      <c r="B17" s="31"/>
    </row>
    <row r="18" spans="2:2" x14ac:dyDescent="0.3">
      <c r="B18" s="32" t="s">
        <v>255</v>
      </c>
    </row>
    <row r="19" spans="2:2" x14ac:dyDescent="0.3">
      <c r="B19" s="31"/>
    </row>
    <row r="20" spans="2:2" x14ac:dyDescent="0.3">
      <c r="B20" s="33" t="s">
        <v>256</v>
      </c>
    </row>
    <row r="21" spans="2:2" x14ac:dyDescent="0.3">
      <c r="B21" s="33" t="s">
        <v>257</v>
      </c>
    </row>
    <row r="22" spans="2:2" x14ac:dyDescent="0.3">
      <c r="B22" s="34" t="s">
        <v>258</v>
      </c>
    </row>
    <row r="23" spans="2:2" x14ac:dyDescent="0.3">
      <c r="B23" s="34" t="s">
        <v>259</v>
      </c>
    </row>
    <row r="24" spans="2:2" x14ac:dyDescent="0.3">
      <c r="B24" s="31"/>
    </row>
    <row r="25" spans="2:2" x14ac:dyDescent="0.3">
      <c r="B25" s="32" t="s">
        <v>260</v>
      </c>
    </row>
    <row r="26" spans="2:2" x14ac:dyDescent="0.3">
      <c r="B26" s="33" t="s">
        <v>261</v>
      </c>
    </row>
    <row r="28" spans="2:2" ht="18" x14ac:dyDescent="0.3">
      <c r="B28" s="30" t="s">
        <v>262</v>
      </c>
    </row>
    <row r="29" spans="2:2" x14ac:dyDescent="0.3">
      <c r="B29" s="31" t="s">
        <v>263</v>
      </c>
    </row>
    <row r="30" spans="2:2" x14ac:dyDescent="0.3">
      <c r="B30" s="31" t="s">
        <v>264</v>
      </c>
    </row>
    <row r="31" spans="2:2" x14ac:dyDescent="0.3">
      <c r="B31" s="31" t="s">
        <v>265</v>
      </c>
    </row>
    <row r="32" spans="2:2" ht="18.600000000000001" customHeight="1" x14ac:dyDescent="0.3"/>
    <row r="34" spans="2:2" ht="23.4" x14ac:dyDescent="0.3">
      <c r="B34" s="29" t="s">
        <v>266</v>
      </c>
    </row>
    <row r="36" spans="2:2" ht="18" x14ac:dyDescent="0.3">
      <c r="B36" s="30" t="s">
        <v>249</v>
      </c>
    </row>
    <row r="38" spans="2:2" x14ac:dyDescent="0.3">
      <c r="B38" t="s">
        <v>267</v>
      </c>
    </row>
    <row r="40" spans="2:2" ht="18" x14ac:dyDescent="0.3">
      <c r="B40" s="30" t="s">
        <v>251</v>
      </c>
    </row>
    <row r="41" spans="2:2" x14ac:dyDescent="0.3">
      <c r="B41" s="31"/>
    </row>
    <row r="42" spans="2:2" x14ac:dyDescent="0.3">
      <c r="B42" s="32" t="s">
        <v>268</v>
      </c>
    </row>
    <row r="43" spans="2:2" x14ac:dyDescent="0.3">
      <c r="B43" s="31"/>
    </row>
    <row r="44" spans="2:2" x14ac:dyDescent="0.3">
      <c r="B44" s="33" t="s">
        <v>269</v>
      </c>
    </row>
    <row r="45" spans="2:2" x14ac:dyDescent="0.3">
      <c r="B45" s="33" t="s">
        <v>270</v>
      </c>
    </row>
    <row r="46" spans="2:2" x14ac:dyDescent="0.3">
      <c r="B46" s="31"/>
    </row>
    <row r="47" spans="2:2" x14ac:dyDescent="0.3">
      <c r="B47" s="32" t="s">
        <v>271</v>
      </c>
    </row>
    <row r="48" spans="2:2" x14ac:dyDescent="0.3">
      <c r="B48" s="31"/>
    </row>
    <row r="49" spans="2:3" x14ac:dyDescent="0.3">
      <c r="B49" s="33" t="s">
        <v>272</v>
      </c>
    </row>
    <row r="50" spans="2:3" x14ac:dyDescent="0.3">
      <c r="B50" s="31"/>
    </row>
    <row r="51" spans="2:3" x14ac:dyDescent="0.3">
      <c r="B51" s="32" t="s">
        <v>273</v>
      </c>
    </row>
    <row r="52" spans="2:3" x14ac:dyDescent="0.3">
      <c r="B52" s="31"/>
    </row>
    <row r="53" spans="2:3" x14ac:dyDescent="0.3">
      <c r="B53" s="33" t="s">
        <v>274</v>
      </c>
    </row>
    <row r="55" spans="2:3" ht="18" x14ac:dyDescent="0.3">
      <c r="B55" s="30" t="s">
        <v>275</v>
      </c>
    </row>
    <row r="57" spans="2:3" x14ac:dyDescent="0.3">
      <c r="B57" s="35" t="s">
        <v>276</v>
      </c>
      <c r="C57" s="35" t="s">
        <v>277</v>
      </c>
    </row>
    <row r="58" spans="2:3" x14ac:dyDescent="0.3">
      <c r="B58" s="22" t="s">
        <v>215</v>
      </c>
      <c r="C58" s="22" t="s">
        <v>278</v>
      </c>
    </row>
    <row r="59" spans="2:3" x14ac:dyDescent="0.3">
      <c r="B59" s="22" t="s">
        <v>279</v>
      </c>
      <c r="C59" s="22" t="s">
        <v>280</v>
      </c>
    </row>
    <row r="60" spans="2:3" x14ac:dyDescent="0.3">
      <c r="B60" s="22" t="s">
        <v>281</v>
      </c>
      <c r="C60" s="22" t="s">
        <v>282</v>
      </c>
    </row>
    <row r="61" spans="2:3" x14ac:dyDescent="0.3">
      <c r="B61" s="22" t="s">
        <v>283</v>
      </c>
      <c r="C61" s="22" t="s">
        <v>284</v>
      </c>
    </row>
    <row r="63" spans="2:3" x14ac:dyDescent="0.3">
      <c r="B63" t="s">
        <v>285</v>
      </c>
    </row>
    <row r="66" spans="2:2" ht="23.4" x14ac:dyDescent="0.3">
      <c r="B66" s="29" t="s">
        <v>286</v>
      </c>
    </row>
    <row r="68" spans="2:2" ht="18" x14ac:dyDescent="0.3">
      <c r="B68" s="30" t="s">
        <v>249</v>
      </c>
    </row>
    <row r="70" spans="2:2" x14ac:dyDescent="0.3">
      <c r="B70" t="s">
        <v>287</v>
      </c>
    </row>
    <row r="72" spans="2:2" ht="18" x14ac:dyDescent="0.3">
      <c r="B72" s="30" t="s">
        <v>251</v>
      </c>
    </row>
    <row r="73" spans="2:2" x14ac:dyDescent="0.3">
      <c r="B73" s="31"/>
    </row>
    <row r="74" spans="2:2" x14ac:dyDescent="0.3">
      <c r="B74" s="32" t="s">
        <v>288</v>
      </c>
    </row>
    <row r="75" spans="2:2" x14ac:dyDescent="0.3">
      <c r="B75" s="31"/>
    </row>
    <row r="76" spans="2:2" x14ac:dyDescent="0.3">
      <c r="B76" s="33" t="s">
        <v>289</v>
      </c>
    </row>
    <row r="77" spans="2:2" x14ac:dyDescent="0.3">
      <c r="B77" s="31"/>
    </row>
    <row r="78" spans="2:2" x14ac:dyDescent="0.3">
      <c r="B78" s="32" t="s">
        <v>290</v>
      </c>
    </row>
    <row r="79" spans="2:2" x14ac:dyDescent="0.3">
      <c r="B79" s="31"/>
    </row>
    <row r="80" spans="2:2" x14ac:dyDescent="0.3">
      <c r="B80" s="33" t="s">
        <v>291</v>
      </c>
    </row>
    <row r="81" spans="2:2" x14ac:dyDescent="0.3">
      <c r="B81" s="31"/>
    </row>
    <row r="82" spans="2:2" x14ac:dyDescent="0.3">
      <c r="B82" s="32" t="s">
        <v>292</v>
      </c>
    </row>
    <row r="83" spans="2:2" x14ac:dyDescent="0.3">
      <c r="B83" s="31"/>
    </row>
    <row r="84" spans="2:2" x14ac:dyDescent="0.3">
      <c r="B84" s="33" t="s">
        <v>293</v>
      </c>
    </row>
    <row r="86" spans="2:2" ht="18" x14ac:dyDescent="0.3">
      <c r="B86" s="30" t="s">
        <v>294</v>
      </c>
    </row>
    <row r="87" spans="2:2" x14ac:dyDescent="0.3">
      <c r="B87" s="31"/>
    </row>
    <row r="88" spans="2:2" x14ac:dyDescent="0.3">
      <c r="B88" s="31" t="s">
        <v>295</v>
      </c>
    </row>
    <row r="89" spans="2:2" x14ac:dyDescent="0.3">
      <c r="B89" s="31" t="s">
        <v>296</v>
      </c>
    </row>
    <row r="91" spans="2:2" x14ac:dyDescent="0.3">
      <c r="B91" t="s">
        <v>297</v>
      </c>
    </row>
    <row r="94" spans="2:2" ht="23.4" x14ac:dyDescent="0.3">
      <c r="B94" s="29" t="s">
        <v>298</v>
      </c>
    </row>
    <row r="96" spans="2:2" ht="18" x14ac:dyDescent="0.3">
      <c r="B96" s="30" t="s">
        <v>249</v>
      </c>
    </row>
    <row r="98" spans="2:2" x14ac:dyDescent="0.3">
      <c r="B98" t="s">
        <v>299</v>
      </c>
    </row>
    <row r="100" spans="2:2" ht="18" x14ac:dyDescent="0.3">
      <c r="B100" s="30" t="s">
        <v>251</v>
      </c>
    </row>
    <row r="101" spans="2:2" x14ac:dyDescent="0.3">
      <c r="B101" s="31"/>
    </row>
    <row r="102" spans="2:2" x14ac:dyDescent="0.3">
      <c r="B102" s="32" t="s">
        <v>300</v>
      </c>
    </row>
    <row r="103" spans="2:2" x14ac:dyDescent="0.3">
      <c r="B103" s="31"/>
    </row>
    <row r="104" spans="2:2" x14ac:dyDescent="0.3">
      <c r="B104" s="33" t="s">
        <v>301</v>
      </c>
    </row>
    <row r="105" spans="2:2" x14ac:dyDescent="0.3">
      <c r="B105" s="31"/>
    </row>
    <row r="106" spans="2:2" x14ac:dyDescent="0.3">
      <c r="B106" s="32" t="s">
        <v>302</v>
      </c>
    </row>
    <row r="107" spans="2:2" x14ac:dyDescent="0.3">
      <c r="B107" s="31"/>
    </row>
    <row r="108" spans="2:2" x14ac:dyDescent="0.3">
      <c r="B108" s="33" t="s">
        <v>303</v>
      </c>
    </row>
    <row r="109" spans="2:2" x14ac:dyDescent="0.3">
      <c r="B109" s="31"/>
    </row>
    <row r="110" spans="2:2" x14ac:dyDescent="0.3">
      <c r="B110" s="32" t="s">
        <v>304</v>
      </c>
    </row>
    <row r="111" spans="2:2" x14ac:dyDescent="0.3">
      <c r="B111" s="31"/>
    </row>
    <row r="112" spans="2:2" x14ac:dyDescent="0.3">
      <c r="B112" s="33" t="s">
        <v>305</v>
      </c>
    </row>
    <row r="114" spans="2:2" ht="18" x14ac:dyDescent="0.3">
      <c r="B114" s="30" t="s">
        <v>306</v>
      </c>
    </row>
    <row r="115" spans="2:2" x14ac:dyDescent="0.3">
      <c r="B115" s="31"/>
    </row>
    <row r="116" spans="2:2" x14ac:dyDescent="0.3">
      <c r="B116" s="31" t="s">
        <v>307</v>
      </c>
    </row>
    <row r="117" spans="2:2" x14ac:dyDescent="0.3">
      <c r="B117" s="31" t="s">
        <v>308</v>
      </c>
    </row>
    <row r="119" spans="2:2" x14ac:dyDescent="0.3">
      <c r="B119" t="s">
        <v>309</v>
      </c>
    </row>
    <row r="123" spans="2:2" ht="31.2" x14ac:dyDescent="0.3">
      <c r="B123" s="28" t="s">
        <v>310</v>
      </c>
    </row>
    <row r="125" spans="2:2" x14ac:dyDescent="0.3">
      <c r="B125" t="s">
        <v>311</v>
      </c>
    </row>
    <row r="126" spans="2:2" x14ac:dyDescent="0.3">
      <c r="B126" s="31"/>
    </row>
    <row r="127" spans="2:2" x14ac:dyDescent="0.3">
      <c r="B127" s="32" t="s">
        <v>312</v>
      </c>
    </row>
    <row r="128" spans="2:2" x14ac:dyDescent="0.3">
      <c r="B128" s="31"/>
    </row>
    <row r="129" spans="2:2" x14ac:dyDescent="0.3">
      <c r="B129" s="33" t="s">
        <v>313</v>
      </c>
    </row>
    <row r="130" spans="2:2" x14ac:dyDescent="0.3">
      <c r="B130" s="31"/>
    </row>
    <row r="131" spans="2:2" x14ac:dyDescent="0.3">
      <c r="B131" s="32" t="s">
        <v>314</v>
      </c>
    </row>
    <row r="132" spans="2:2" x14ac:dyDescent="0.3">
      <c r="B132" s="31"/>
    </row>
    <row r="133" spans="2:2" x14ac:dyDescent="0.3">
      <c r="B133" s="33" t="s">
        <v>315</v>
      </c>
    </row>
    <row r="134" spans="2:2" x14ac:dyDescent="0.3">
      <c r="B134" s="31"/>
    </row>
    <row r="135" spans="2:2" x14ac:dyDescent="0.3">
      <c r="B135" s="32" t="s">
        <v>316</v>
      </c>
    </row>
    <row r="136" spans="2:2" x14ac:dyDescent="0.3">
      <c r="B136" s="31"/>
    </row>
    <row r="137" spans="2:2" x14ac:dyDescent="0.3">
      <c r="B137" s="33" t="s">
        <v>317</v>
      </c>
    </row>
    <row r="138" spans="2:2" x14ac:dyDescent="0.3">
      <c r="B138" s="31"/>
    </row>
    <row r="139" spans="2:2" x14ac:dyDescent="0.3">
      <c r="B139" s="32" t="s">
        <v>318</v>
      </c>
    </row>
    <row r="140" spans="2:2" x14ac:dyDescent="0.3">
      <c r="B140" s="31"/>
    </row>
    <row r="141" spans="2:2" x14ac:dyDescent="0.3">
      <c r="B141" s="33" t="s">
        <v>319</v>
      </c>
    </row>
    <row r="147" spans="2:2" x14ac:dyDescent="0.3">
      <c r="B147" s="25" t="s">
        <v>320</v>
      </c>
    </row>
    <row r="148" spans="2:2" x14ac:dyDescent="0.3">
      <c r="B148" t="s">
        <v>321</v>
      </c>
    </row>
    <row r="149" spans="2:2" x14ac:dyDescent="0.3">
      <c r="B149" t="s">
        <v>322</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85A2D-061A-4314-963B-0007B60F9FC7}">
  <dimension ref="B2:W326"/>
  <sheetViews>
    <sheetView workbookViewId="0">
      <selection activeCell="S315" sqref="S315"/>
    </sheetView>
  </sheetViews>
  <sheetFormatPr defaultRowHeight="14.4" x14ac:dyDescent="0.3"/>
  <cols>
    <col min="9" max="9" width="11.88671875" customWidth="1"/>
    <col min="10" max="10" width="16.44140625" customWidth="1"/>
  </cols>
  <sheetData>
    <row r="2" spans="2:4" x14ac:dyDescent="0.3">
      <c r="B2">
        <v>1</v>
      </c>
      <c r="C2" t="s">
        <v>360</v>
      </c>
    </row>
    <row r="4" spans="2:4" x14ac:dyDescent="0.3">
      <c r="C4" s="25" t="s">
        <v>354</v>
      </c>
    </row>
    <row r="5" spans="2:4" x14ac:dyDescent="0.3">
      <c r="C5" s="31" t="s">
        <v>355</v>
      </c>
    </row>
    <row r="6" spans="2:4" x14ac:dyDescent="0.3">
      <c r="C6" s="31" t="s">
        <v>356</v>
      </c>
    </row>
    <row r="8" spans="2:4" x14ac:dyDescent="0.3">
      <c r="C8" t="s">
        <v>357</v>
      </c>
    </row>
    <row r="9" spans="2:4" x14ac:dyDescent="0.3">
      <c r="C9" s="32" t="s">
        <v>358</v>
      </c>
    </row>
    <row r="10" spans="2:4" x14ac:dyDescent="0.3">
      <c r="C10" s="31" t="s">
        <v>359</v>
      </c>
    </row>
    <row r="12" spans="2:4" x14ac:dyDescent="0.3">
      <c r="C12" s="31"/>
    </row>
    <row r="13" spans="2:4" x14ac:dyDescent="0.3">
      <c r="C13" s="25" t="s">
        <v>361</v>
      </c>
    </row>
    <row r="14" spans="2:4" x14ac:dyDescent="0.3">
      <c r="D14" s="31" t="s">
        <v>362</v>
      </c>
    </row>
    <row r="15" spans="2:4" x14ac:dyDescent="0.3">
      <c r="D15" s="31" t="s">
        <v>363</v>
      </c>
    </row>
    <row r="16" spans="2:4" x14ac:dyDescent="0.3">
      <c r="C16" s="31"/>
      <c r="D16" s="31" t="s">
        <v>364</v>
      </c>
    </row>
    <row r="17" spans="3:4" x14ac:dyDescent="0.3">
      <c r="D17" s="31" t="s">
        <v>365</v>
      </c>
    </row>
    <row r="18" spans="3:4" x14ac:dyDescent="0.3">
      <c r="C18" t="s">
        <v>366</v>
      </c>
    </row>
    <row r="19" spans="3:4" x14ac:dyDescent="0.3">
      <c r="C19" t="s">
        <v>367</v>
      </c>
    </row>
    <row r="20" spans="3:4" x14ac:dyDescent="0.3">
      <c r="C20" s="31"/>
    </row>
    <row r="21" spans="3:4" x14ac:dyDescent="0.3">
      <c r="C21" t="s">
        <v>368</v>
      </c>
    </row>
    <row r="25" spans="3:4" x14ac:dyDescent="0.3">
      <c r="C25" t="s">
        <v>369</v>
      </c>
    </row>
    <row r="26" spans="3:4" x14ac:dyDescent="0.3">
      <c r="C26" s="31"/>
    </row>
    <row r="27" spans="3:4" x14ac:dyDescent="0.3">
      <c r="C27" s="31" t="s">
        <v>382</v>
      </c>
    </row>
    <row r="28" spans="3:4" x14ac:dyDescent="0.3">
      <c r="C28" s="31"/>
    </row>
    <row r="29" spans="3:4" x14ac:dyDescent="0.3">
      <c r="C29" s="31" t="s">
        <v>383</v>
      </c>
    </row>
    <row r="30" spans="3:4" x14ac:dyDescent="0.3">
      <c r="C30" s="31"/>
    </row>
    <row r="31" spans="3:4" x14ac:dyDescent="0.3">
      <c r="C31" s="31" t="s">
        <v>384</v>
      </c>
    </row>
    <row r="33" spans="3:4" x14ac:dyDescent="0.3">
      <c r="C33" t="s">
        <v>370</v>
      </c>
    </row>
    <row r="37" spans="3:4" ht="23.4" x14ac:dyDescent="0.3">
      <c r="C37" s="29" t="s">
        <v>371</v>
      </c>
    </row>
    <row r="38" spans="3:4" x14ac:dyDescent="0.3">
      <c r="C38" s="31"/>
    </row>
    <row r="39" spans="3:4" x14ac:dyDescent="0.3">
      <c r="C39" s="31" t="s">
        <v>372</v>
      </c>
    </row>
    <row r="40" spans="3:4" x14ac:dyDescent="0.3">
      <c r="C40" s="31" t="s">
        <v>373</v>
      </c>
    </row>
    <row r="41" spans="3:4" x14ac:dyDescent="0.3">
      <c r="C41" s="31" t="s">
        <v>374</v>
      </c>
    </row>
    <row r="42" spans="3:4" x14ac:dyDescent="0.3">
      <c r="C42" s="31"/>
      <c r="D42" s="33" t="s">
        <v>375</v>
      </c>
    </row>
    <row r="43" spans="3:4" x14ac:dyDescent="0.3">
      <c r="D43" s="33" t="s">
        <v>376</v>
      </c>
    </row>
    <row r="44" spans="3:4" x14ac:dyDescent="0.3">
      <c r="C44" s="31"/>
      <c r="D44" s="33" t="s">
        <v>377</v>
      </c>
    </row>
    <row r="45" spans="3:4" x14ac:dyDescent="0.3">
      <c r="C45" s="31"/>
    </row>
    <row r="46" spans="3:4" x14ac:dyDescent="0.3">
      <c r="C46" t="s">
        <v>378</v>
      </c>
    </row>
    <row r="47" spans="3:4" x14ac:dyDescent="0.3">
      <c r="D47" s="32" t="s">
        <v>379</v>
      </c>
    </row>
    <row r="48" spans="3:4" x14ac:dyDescent="0.3">
      <c r="C48" s="33"/>
      <c r="D48" s="32" t="s">
        <v>380</v>
      </c>
    </row>
    <row r="49" spans="3:6" x14ac:dyDescent="0.3">
      <c r="D49" s="32" t="s">
        <v>381</v>
      </c>
    </row>
    <row r="50" spans="3:6" x14ac:dyDescent="0.3">
      <c r="C50" s="33"/>
    </row>
    <row r="51" spans="3:6" ht="23.4" x14ac:dyDescent="0.3">
      <c r="C51" s="29" t="s">
        <v>385</v>
      </c>
    </row>
    <row r="52" spans="3:6" x14ac:dyDescent="0.3">
      <c r="C52" t="s">
        <v>386</v>
      </c>
    </row>
    <row r="55" spans="3:6" x14ac:dyDescent="0.3">
      <c r="D55" t="s">
        <v>369</v>
      </c>
    </row>
    <row r="56" spans="3:6" x14ac:dyDescent="0.3">
      <c r="E56" s="31" t="s">
        <v>388</v>
      </c>
    </row>
    <row r="57" spans="3:6" x14ac:dyDescent="0.3">
      <c r="E57" s="31" t="s">
        <v>387</v>
      </c>
    </row>
    <row r="58" spans="3:6" x14ac:dyDescent="0.3">
      <c r="C58" s="31"/>
    </row>
    <row r="59" spans="3:6" ht="23.4" x14ac:dyDescent="0.3">
      <c r="C59" s="29" t="s">
        <v>391</v>
      </c>
    </row>
    <row r="60" spans="3:6" ht="18" x14ac:dyDescent="0.3">
      <c r="C60" s="31"/>
      <c r="D60" s="30" t="s">
        <v>392</v>
      </c>
    </row>
    <row r="61" spans="3:6" ht="43.2" x14ac:dyDescent="0.3">
      <c r="D61" s="35" t="s">
        <v>381</v>
      </c>
      <c r="E61" s="35" t="s">
        <v>389</v>
      </c>
      <c r="F61" s="35" t="s">
        <v>390</v>
      </c>
    </row>
    <row r="62" spans="3:6" x14ac:dyDescent="0.3">
      <c r="D62" s="22">
        <v>1.25</v>
      </c>
      <c r="E62" s="22">
        <v>0.2</v>
      </c>
      <c r="F62" s="22">
        <v>0.6</v>
      </c>
    </row>
    <row r="63" spans="3:6" x14ac:dyDescent="0.3">
      <c r="D63" s="22">
        <v>1.33</v>
      </c>
      <c r="E63" s="22">
        <v>0.18</v>
      </c>
      <c r="F63" s="22">
        <v>0.62</v>
      </c>
    </row>
    <row r="64" spans="3:6" x14ac:dyDescent="0.3">
      <c r="D64" s="22">
        <v>1.5</v>
      </c>
      <c r="E64" s="22">
        <v>0.15</v>
      </c>
      <c r="F64" s="22">
        <v>0.65</v>
      </c>
    </row>
    <row r="66" spans="4:10" x14ac:dyDescent="0.3">
      <c r="D66" t="s">
        <v>393</v>
      </c>
    </row>
    <row r="67" spans="4:10" ht="43.2" x14ac:dyDescent="0.3">
      <c r="D67" s="35" t="s">
        <v>381</v>
      </c>
      <c r="E67" s="35" t="s">
        <v>389</v>
      </c>
      <c r="F67" s="35" t="s">
        <v>390</v>
      </c>
    </row>
    <row r="68" spans="4:10" x14ac:dyDescent="0.3">
      <c r="D68" s="22">
        <v>1.25</v>
      </c>
      <c r="E68" s="22">
        <v>0.16</v>
      </c>
      <c r="F68" s="22">
        <v>0.62</v>
      </c>
    </row>
    <row r="69" spans="4:10" x14ac:dyDescent="0.3">
      <c r="D69" s="22">
        <v>1.33</v>
      </c>
      <c r="E69" s="22">
        <v>0.14000000000000001</v>
      </c>
      <c r="F69" s="22">
        <v>0.65</v>
      </c>
    </row>
    <row r="70" spans="4:10" x14ac:dyDescent="0.3">
      <c r="D70" s="22">
        <v>1.5</v>
      </c>
      <c r="E70" s="22">
        <v>0.12</v>
      </c>
      <c r="F70" s="22">
        <v>0.68</v>
      </c>
    </row>
    <row r="72" spans="4:10" x14ac:dyDescent="0.3">
      <c r="D72" s="25" t="s">
        <v>394</v>
      </c>
    </row>
    <row r="73" spans="4:10" x14ac:dyDescent="0.3">
      <c r="D73" s="31"/>
      <c r="E73" s="31" t="s">
        <v>395</v>
      </c>
    </row>
    <row r="74" spans="4:10" x14ac:dyDescent="0.3">
      <c r="E74" s="31" t="s">
        <v>396</v>
      </c>
    </row>
    <row r="75" spans="4:10" x14ac:dyDescent="0.3">
      <c r="D75" s="31"/>
    </row>
    <row r="77" spans="4:10" x14ac:dyDescent="0.3">
      <c r="D77" t="s">
        <v>397</v>
      </c>
      <c r="I77" s="35" t="s">
        <v>398</v>
      </c>
      <c r="J77" s="35" t="s">
        <v>399</v>
      </c>
    </row>
    <row r="78" spans="4:10" x14ac:dyDescent="0.3">
      <c r="I78" s="22">
        <v>500</v>
      </c>
      <c r="J78" s="22" t="s">
        <v>400</v>
      </c>
    </row>
    <row r="79" spans="4:10" x14ac:dyDescent="0.3">
      <c r="I79" s="42">
        <v>1000</v>
      </c>
      <c r="J79" s="22" t="s">
        <v>401</v>
      </c>
    </row>
    <row r="80" spans="4:10" x14ac:dyDescent="0.3">
      <c r="I80" s="42">
        <v>5000</v>
      </c>
      <c r="J80" s="22" t="s">
        <v>402</v>
      </c>
    </row>
    <row r="81" spans="3:10" x14ac:dyDescent="0.3">
      <c r="I81" s="42">
        <v>10000</v>
      </c>
      <c r="J81" s="22" t="s">
        <v>403</v>
      </c>
    </row>
    <row r="83" spans="3:10" x14ac:dyDescent="0.3">
      <c r="D83" t="s">
        <v>404</v>
      </c>
    </row>
    <row r="86" spans="3:10" x14ac:dyDescent="0.3">
      <c r="C86" t="s">
        <v>421</v>
      </c>
    </row>
    <row r="88" spans="3:10" ht="23.4" x14ac:dyDescent="0.3">
      <c r="C88" s="29" t="s">
        <v>422</v>
      </c>
    </row>
    <row r="89" spans="3:10" x14ac:dyDescent="0.3">
      <c r="C89" s="31"/>
      <c r="D89" s="31" t="s">
        <v>423</v>
      </c>
    </row>
    <row r="90" spans="3:10" x14ac:dyDescent="0.3">
      <c r="D90" s="31" t="s">
        <v>424</v>
      </c>
    </row>
    <row r="91" spans="3:10" x14ac:dyDescent="0.3">
      <c r="C91" s="31"/>
      <c r="D91" s="31" t="s">
        <v>425</v>
      </c>
    </row>
    <row r="92" spans="3:10" x14ac:dyDescent="0.3">
      <c r="E92" s="48" t="s">
        <v>426</v>
      </c>
    </row>
    <row r="93" spans="3:10" x14ac:dyDescent="0.3">
      <c r="C93" s="31"/>
      <c r="E93" s="48" t="s">
        <v>427</v>
      </c>
    </row>
    <row r="95" spans="3:10" x14ac:dyDescent="0.3">
      <c r="C95" s="31"/>
      <c r="D95" s="31" t="s">
        <v>428</v>
      </c>
    </row>
    <row r="96" spans="3:10" x14ac:dyDescent="0.3">
      <c r="C96" s="31"/>
    </row>
    <row r="97" spans="3:5" x14ac:dyDescent="0.3">
      <c r="C97" s="33"/>
    </row>
    <row r="98" spans="3:5" ht="31.2" x14ac:dyDescent="0.3">
      <c r="C98" s="28" t="s">
        <v>429</v>
      </c>
    </row>
    <row r="99" spans="3:5" x14ac:dyDescent="0.3">
      <c r="C99" t="s">
        <v>430</v>
      </c>
    </row>
    <row r="102" spans="3:5" x14ac:dyDescent="0.3">
      <c r="D102" t="s">
        <v>369</v>
      </c>
    </row>
    <row r="103" spans="3:5" x14ac:dyDescent="0.3">
      <c r="E103" s="31" t="s">
        <v>434</v>
      </c>
    </row>
    <row r="105" spans="3:5" x14ac:dyDescent="0.3">
      <c r="C105" s="31"/>
      <c r="D105" s="31" t="s">
        <v>431</v>
      </c>
    </row>
    <row r="107" spans="3:5" ht="18" x14ac:dyDescent="0.3">
      <c r="C107" s="31"/>
      <c r="D107" s="30" t="s">
        <v>432</v>
      </c>
    </row>
    <row r="108" spans="3:5" x14ac:dyDescent="0.3">
      <c r="E108" t="s">
        <v>435</v>
      </c>
    </row>
    <row r="110" spans="3:5" x14ac:dyDescent="0.3">
      <c r="D110" t="s">
        <v>433</v>
      </c>
    </row>
    <row r="112" spans="3:5" ht="18" x14ac:dyDescent="0.3">
      <c r="D112" s="30" t="s">
        <v>436</v>
      </c>
    </row>
    <row r="113" spans="3:12" x14ac:dyDescent="0.3">
      <c r="D113" s="31"/>
      <c r="E113" s="32" t="s">
        <v>437</v>
      </c>
    </row>
    <row r="114" spans="3:12" x14ac:dyDescent="0.3">
      <c r="E114" s="32" t="s">
        <v>438</v>
      </c>
    </row>
    <row r="115" spans="3:12" x14ac:dyDescent="0.3">
      <c r="D115" s="31"/>
    </row>
    <row r="118" spans="3:12" ht="31.2" x14ac:dyDescent="0.3">
      <c r="C118" s="28" t="s">
        <v>445</v>
      </c>
    </row>
    <row r="119" spans="3:12" ht="23.4" x14ac:dyDescent="0.3">
      <c r="D119" s="29" t="s">
        <v>446</v>
      </c>
    </row>
    <row r="120" spans="3:12" x14ac:dyDescent="0.3">
      <c r="E120" t="s">
        <v>447</v>
      </c>
    </row>
    <row r="121" spans="3:12" x14ac:dyDescent="0.3">
      <c r="F121" s="32" t="s">
        <v>448</v>
      </c>
    </row>
    <row r="122" spans="3:12" x14ac:dyDescent="0.3">
      <c r="F122" s="32" t="s">
        <v>449</v>
      </c>
    </row>
    <row r="123" spans="3:12" x14ac:dyDescent="0.3">
      <c r="C123" s="31"/>
      <c r="G123" s="25" t="s">
        <v>453</v>
      </c>
    </row>
    <row r="124" spans="3:12" x14ac:dyDescent="0.3">
      <c r="C124" s="31"/>
      <c r="G124" t="s">
        <v>454</v>
      </c>
      <c r="L124" s="25"/>
    </row>
    <row r="125" spans="3:12" x14ac:dyDescent="0.3">
      <c r="C125" s="31"/>
      <c r="L125" s="25"/>
    </row>
    <row r="126" spans="3:12" x14ac:dyDescent="0.3">
      <c r="E126" t="s">
        <v>450</v>
      </c>
    </row>
    <row r="127" spans="3:12" x14ac:dyDescent="0.3">
      <c r="C127" s="31"/>
      <c r="F127" s="32" t="s">
        <v>451</v>
      </c>
    </row>
    <row r="128" spans="3:12" x14ac:dyDescent="0.3">
      <c r="F128" s="31" t="s">
        <v>452</v>
      </c>
    </row>
    <row r="131" spans="3:6" x14ac:dyDescent="0.3">
      <c r="C131" s="31"/>
    </row>
    <row r="133" spans="3:6" x14ac:dyDescent="0.3">
      <c r="C133" s="31"/>
    </row>
    <row r="135" spans="3:6" ht="18" x14ac:dyDescent="0.3">
      <c r="D135" s="30" t="s">
        <v>455</v>
      </c>
    </row>
    <row r="136" spans="3:6" x14ac:dyDescent="0.3">
      <c r="D136" s="25" t="s">
        <v>456</v>
      </c>
    </row>
    <row r="137" spans="3:6" x14ac:dyDescent="0.3">
      <c r="E137" s="31" t="s">
        <v>457</v>
      </c>
    </row>
    <row r="138" spans="3:6" x14ac:dyDescent="0.3">
      <c r="D138" s="31"/>
      <c r="E138" s="31" t="s">
        <v>458</v>
      </c>
    </row>
    <row r="139" spans="3:6" x14ac:dyDescent="0.3">
      <c r="F139" s="33" t="s">
        <v>459</v>
      </c>
    </row>
    <row r="140" spans="3:6" x14ac:dyDescent="0.3">
      <c r="D140" s="31"/>
      <c r="F140" s="33" t="s">
        <v>460</v>
      </c>
    </row>
    <row r="141" spans="3:6" x14ac:dyDescent="0.3">
      <c r="F141" s="33" t="s">
        <v>461</v>
      </c>
    </row>
    <row r="142" spans="3:6" x14ac:dyDescent="0.3">
      <c r="D142" s="25" t="s">
        <v>462</v>
      </c>
    </row>
    <row r="143" spans="3:6" x14ac:dyDescent="0.3">
      <c r="D143" s="31"/>
      <c r="E143" s="32" t="s">
        <v>463</v>
      </c>
    </row>
    <row r="144" spans="3:6" x14ac:dyDescent="0.3">
      <c r="D144" s="33"/>
      <c r="F144" s="31" t="s">
        <v>464</v>
      </c>
    </row>
    <row r="145" spans="4:10" x14ac:dyDescent="0.3">
      <c r="F145" s="33" t="s">
        <v>465</v>
      </c>
      <c r="I145" s="25" t="s">
        <v>468</v>
      </c>
    </row>
    <row r="146" spans="4:10" x14ac:dyDescent="0.3">
      <c r="D146" s="33"/>
      <c r="F146" s="33" t="s">
        <v>466</v>
      </c>
    </row>
    <row r="147" spans="4:10" ht="28.8" x14ac:dyDescent="0.3">
      <c r="F147" s="33" t="s">
        <v>467</v>
      </c>
      <c r="I147" s="35" t="s">
        <v>469</v>
      </c>
      <c r="J147" s="35" t="s">
        <v>470</v>
      </c>
    </row>
    <row r="148" spans="4:10" x14ac:dyDescent="0.3">
      <c r="D148" s="33"/>
      <c r="I148" s="24" t="s">
        <v>471</v>
      </c>
      <c r="J148" s="24" t="s">
        <v>472</v>
      </c>
    </row>
    <row r="149" spans="4:10" x14ac:dyDescent="0.3">
      <c r="I149" s="24" t="s">
        <v>473</v>
      </c>
      <c r="J149" s="24" t="s">
        <v>474</v>
      </c>
    </row>
    <row r="150" spans="4:10" x14ac:dyDescent="0.3">
      <c r="I150" s="24" t="s">
        <v>475</v>
      </c>
      <c r="J150" s="24" t="s">
        <v>476</v>
      </c>
    </row>
    <row r="151" spans="4:10" x14ac:dyDescent="0.3">
      <c r="I151" s="24" t="s">
        <v>477</v>
      </c>
      <c r="J151" s="24" t="s">
        <v>478</v>
      </c>
    </row>
    <row r="152" spans="4:10" x14ac:dyDescent="0.3">
      <c r="E152" t="s">
        <v>479</v>
      </c>
    </row>
    <row r="155" spans="4:10" ht="18" x14ac:dyDescent="0.3">
      <c r="D155" s="30" t="s">
        <v>480</v>
      </c>
    </row>
    <row r="156" spans="4:10" x14ac:dyDescent="0.3">
      <c r="E156" s="25" t="s">
        <v>456</v>
      </c>
    </row>
    <row r="157" spans="4:10" x14ac:dyDescent="0.3">
      <c r="E157" s="31"/>
      <c r="F157" s="31" t="s">
        <v>481</v>
      </c>
    </row>
    <row r="158" spans="4:10" x14ac:dyDescent="0.3">
      <c r="E158" s="31" t="s">
        <v>482</v>
      </c>
    </row>
    <row r="159" spans="4:10" x14ac:dyDescent="0.3">
      <c r="E159" s="31"/>
      <c r="F159" s="33" t="s">
        <v>483</v>
      </c>
    </row>
    <row r="160" spans="4:10" x14ac:dyDescent="0.3">
      <c r="F160" s="33" t="s">
        <v>460</v>
      </c>
    </row>
    <row r="161" spans="4:10" x14ac:dyDescent="0.3">
      <c r="F161" s="33" t="s">
        <v>484</v>
      </c>
    </row>
    <row r="162" spans="4:10" x14ac:dyDescent="0.3">
      <c r="E162" s="25" t="s">
        <v>462</v>
      </c>
      <c r="F162" s="33"/>
    </row>
    <row r="163" spans="4:10" x14ac:dyDescent="0.3">
      <c r="E163" s="31"/>
      <c r="F163" s="32" t="s">
        <v>485</v>
      </c>
    </row>
    <row r="164" spans="4:10" x14ac:dyDescent="0.3">
      <c r="F164" s="31" t="s">
        <v>464</v>
      </c>
    </row>
    <row r="165" spans="4:10" x14ac:dyDescent="0.3">
      <c r="E165" s="31"/>
      <c r="G165" s="33" t="s">
        <v>486</v>
      </c>
    </row>
    <row r="166" spans="4:10" x14ac:dyDescent="0.3">
      <c r="G166" s="33" t="s">
        <v>487</v>
      </c>
    </row>
    <row r="167" spans="4:10" x14ac:dyDescent="0.3">
      <c r="E167" s="31"/>
      <c r="G167" s="33" t="s">
        <v>488</v>
      </c>
    </row>
    <row r="168" spans="4:10" x14ac:dyDescent="0.3">
      <c r="E168" s="31"/>
      <c r="I168" s="25" t="s">
        <v>489</v>
      </c>
    </row>
    <row r="169" spans="4:10" x14ac:dyDescent="0.3">
      <c r="E169" s="33"/>
    </row>
    <row r="170" spans="4:10" ht="28.8" x14ac:dyDescent="0.3">
      <c r="D170" s="31"/>
      <c r="I170" s="35" t="s">
        <v>486</v>
      </c>
      <c r="J170" s="35" t="s">
        <v>490</v>
      </c>
    </row>
    <row r="171" spans="4:10" x14ac:dyDescent="0.3">
      <c r="D171" s="31"/>
      <c r="E171" s="33"/>
      <c r="I171" s="22" t="s">
        <v>491</v>
      </c>
      <c r="J171" s="22" t="s">
        <v>492</v>
      </c>
    </row>
    <row r="172" spans="4:10" x14ac:dyDescent="0.3">
      <c r="D172" s="33"/>
      <c r="I172" s="22" t="s">
        <v>493</v>
      </c>
      <c r="J172" s="22" t="s">
        <v>494</v>
      </c>
    </row>
    <row r="173" spans="4:10" x14ac:dyDescent="0.3">
      <c r="E173" s="33"/>
      <c r="I173" s="22" t="s">
        <v>495</v>
      </c>
      <c r="J173" s="22" t="s">
        <v>496</v>
      </c>
    </row>
    <row r="174" spans="4:10" x14ac:dyDescent="0.3">
      <c r="H174" t="s">
        <v>497</v>
      </c>
    </row>
    <row r="176" spans="4:10" x14ac:dyDescent="0.3">
      <c r="E176" t="s">
        <v>498</v>
      </c>
    </row>
    <row r="179" spans="4:6" ht="23.4" x14ac:dyDescent="0.3">
      <c r="D179" s="29" t="s">
        <v>510</v>
      </c>
    </row>
    <row r="180" spans="4:6" ht="18" x14ac:dyDescent="0.3">
      <c r="E180" s="30" t="s">
        <v>511</v>
      </c>
    </row>
    <row r="181" spans="4:6" x14ac:dyDescent="0.3">
      <c r="F181" t="s">
        <v>524</v>
      </c>
    </row>
    <row r="182" spans="4:6" x14ac:dyDescent="0.3">
      <c r="F182" t="s">
        <v>512</v>
      </c>
    </row>
    <row r="183" spans="4:6" x14ac:dyDescent="0.3">
      <c r="F183" s="32" t="s">
        <v>513</v>
      </c>
    </row>
    <row r="184" spans="4:6" x14ac:dyDescent="0.3">
      <c r="F184" s="31" t="s">
        <v>514</v>
      </c>
    </row>
    <row r="185" spans="4:6" x14ac:dyDescent="0.3">
      <c r="D185" s="31"/>
      <c r="F185" s="31" t="s">
        <v>515</v>
      </c>
    </row>
    <row r="187" spans="4:6" x14ac:dyDescent="0.3">
      <c r="D187" s="31"/>
    </row>
    <row r="189" spans="4:6" x14ac:dyDescent="0.3">
      <c r="D189" s="31"/>
    </row>
    <row r="191" spans="4:6" x14ac:dyDescent="0.3">
      <c r="E191" s="32" t="s">
        <v>519</v>
      </c>
    </row>
    <row r="192" spans="4:6" x14ac:dyDescent="0.3">
      <c r="E192" s="31" t="s">
        <v>520</v>
      </c>
    </row>
    <row r="193" spans="5:8" x14ac:dyDescent="0.3">
      <c r="F193" t="s">
        <v>521</v>
      </c>
    </row>
    <row r="194" spans="5:8" x14ac:dyDescent="0.3">
      <c r="H194" s="31" t="s">
        <v>522</v>
      </c>
    </row>
    <row r="195" spans="5:8" x14ac:dyDescent="0.3">
      <c r="E195" s="31"/>
      <c r="H195" s="31" t="s">
        <v>523</v>
      </c>
    </row>
    <row r="197" spans="5:8" x14ac:dyDescent="0.3">
      <c r="E197" s="31"/>
      <c r="F197" t="s">
        <v>525</v>
      </c>
    </row>
    <row r="198" spans="5:8" x14ac:dyDescent="0.3">
      <c r="F198" t="s">
        <v>526</v>
      </c>
    </row>
    <row r="199" spans="5:8" x14ac:dyDescent="0.3">
      <c r="G199" s="31" t="s">
        <v>486</v>
      </c>
    </row>
    <row r="200" spans="5:8" x14ac:dyDescent="0.3">
      <c r="F200" s="31"/>
      <c r="G200" s="31" t="s">
        <v>48</v>
      </c>
    </row>
    <row r="201" spans="5:8" x14ac:dyDescent="0.3">
      <c r="G201" s="31" t="s">
        <v>527</v>
      </c>
    </row>
    <row r="202" spans="5:8" x14ac:dyDescent="0.3">
      <c r="F202" s="31"/>
      <c r="G202" s="31" t="s">
        <v>528</v>
      </c>
    </row>
    <row r="203" spans="5:8" x14ac:dyDescent="0.3">
      <c r="F203" t="s">
        <v>529</v>
      </c>
    </row>
    <row r="204" spans="5:8" x14ac:dyDescent="0.3">
      <c r="F204" s="31"/>
      <c r="G204" s="31" t="s">
        <v>530</v>
      </c>
    </row>
    <row r="205" spans="5:8" x14ac:dyDescent="0.3">
      <c r="G205" s="31" t="s">
        <v>531</v>
      </c>
    </row>
    <row r="206" spans="5:8" x14ac:dyDescent="0.3">
      <c r="F206" s="31"/>
    </row>
    <row r="207" spans="5:8" ht="23.4" x14ac:dyDescent="0.3">
      <c r="E207" s="29" t="s">
        <v>532</v>
      </c>
    </row>
    <row r="208" spans="5:8" ht="18" x14ac:dyDescent="0.3">
      <c r="E208" s="30" t="s">
        <v>533</v>
      </c>
    </row>
    <row r="209" spans="5:8" x14ac:dyDescent="0.3">
      <c r="F209" s="32" t="s">
        <v>534</v>
      </c>
    </row>
    <row r="210" spans="5:8" x14ac:dyDescent="0.3">
      <c r="E210" s="31"/>
      <c r="F210" s="31"/>
      <c r="G210" s="31" t="s">
        <v>464</v>
      </c>
    </row>
    <row r="211" spans="5:8" x14ac:dyDescent="0.3">
      <c r="H211" s="33" t="s">
        <v>535</v>
      </c>
    </row>
    <row r="212" spans="5:8" x14ac:dyDescent="0.3">
      <c r="E212" s="31"/>
      <c r="F212" s="31"/>
      <c r="H212" s="33" t="s">
        <v>536</v>
      </c>
    </row>
    <row r="213" spans="5:8" x14ac:dyDescent="0.3">
      <c r="H213" s="33" t="s">
        <v>537</v>
      </c>
    </row>
    <row r="214" spans="5:8" x14ac:dyDescent="0.3">
      <c r="E214" s="31"/>
      <c r="H214" s="33" t="s">
        <v>488</v>
      </c>
    </row>
    <row r="215" spans="5:8" ht="18" x14ac:dyDescent="0.3">
      <c r="E215" s="30" t="s">
        <v>538</v>
      </c>
    </row>
    <row r="216" spans="5:8" x14ac:dyDescent="0.3">
      <c r="E216" s="33"/>
      <c r="F216" s="32" t="s">
        <v>539</v>
      </c>
    </row>
    <row r="217" spans="5:8" x14ac:dyDescent="0.3">
      <c r="H217" s="32" t="s">
        <v>540</v>
      </c>
    </row>
    <row r="218" spans="5:8" x14ac:dyDescent="0.3">
      <c r="E218" s="33"/>
      <c r="H218" s="31" t="s">
        <v>541</v>
      </c>
    </row>
    <row r="219" spans="5:8" x14ac:dyDescent="0.3">
      <c r="E219" t="s">
        <v>542</v>
      </c>
    </row>
    <row r="220" spans="5:8" x14ac:dyDescent="0.3">
      <c r="E220" s="33"/>
    </row>
    <row r="222" spans="5:8" x14ac:dyDescent="0.3">
      <c r="E222" t="s">
        <v>543</v>
      </c>
    </row>
    <row r="223" spans="5:8" x14ac:dyDescent="0.3">
      <c r="E223" s="31"/>
      <c r="F223" s="31" t="s">
        <v>544</v>
      </c>
    </row>
    <row r="224" spans="5:8" x14ac:dyDescent="0.3">
      <c r="F224" s="31" t="s">
        <v>545</v>
      </c>
    </row>
    <row r="225" spans="5:10" x14ac:dyDescent="0.3">
      <c r="E225" s="31"/>
      <c r="F225" s="31" t="s">
        <v>546</v>
      </c>
    </row>
    <row r="226" spans="5:10" x14ac:dyDescent="0.3">
      <c r="F226" t="s">
        <v>547</v>
      </c>
    </row>
    <row r="227" spans="5:10" x14ac:dyDescent="0.3">
      <c r="E227" s="31"/>
    </row>
    <row r="228" spans="5:10" x14ac:dyDescent="0.3">
      <c r="E228" t="s">
        <v>548</v>
      </c>
    </row>
    <row r="233" spans="5:10" x14ac:dyDescent="0.3">
      <c r="E233" t="s">
        <v>549</v>
      </c>
      <c r="H233" s="35" t="s">
        <v>408</v>
      </c>
      <c r="I233" s="35" t="s">
        <v>550</v>
      </c>
    </row>
    <row r="234" spans="5:10" ht="43.2" x14ac:dyDescent="0.3">
      <c r="H234" s="22" t="s">
        <v>551</v>
      </c>
      <c r="I234" s="22">
        <v>0.87</v>
      </c>
      <c r="J234" t="s">
        <v>564</v>
      </c>
    </row>
    <row r="235" spans="5:10" ht="28.8" x14ac:dyDescent="0.3">
      <c r="H235" s="22" t="s">
        <v>552</v>
      </c>
      <c r="I235" s="22">
        <v>1</v>
      </c>
      <c r="J235" t="s">
        <v>565</v>
      </c>
    </row>
    <row r="237" spans="5:10" ht="23.4" x14ac:dyDescent="0.3">
      <c r="E237" s="29" t="s">
        <v>553</v>
      </c>
    </row>
    <row r="238" spans="5:10" x14ac:dyDescent="0.3">
      <c r="E238" t="s">
        <v>554</v>
      </c>
    </row>
    <row r="240" spans="5:10" x14ac:dyDescent="0.3">
      <c r="G240" s="35" t="s">
        <v>408</v>
      </c>
      <c r="H240" s="35" t="s">
        <v>555</v>
      </c>
    </row>
    <row r="241" spans="4:8" ht="28.8" x14ac:dyDescent="0.3">
      <c r="G241" s="22" t="s">
        <v>406</v>
      </c>
      <c r="H241" s="22" t="s">
        <v>556</v>
      </c>
    </row>
    <row r="242" spans="4:8" ht="28.8" x14ac:dyDescent="0.3">
      <c r="G242" s="22" t="s">
        <v>410</v>
      </c>
      <c r="H242" s="22" t="s">
        <v>557</v>
      </c>
    </row>
    <row r="244" spans="4:8" x14ac:dyDescent="0.3">
      <c r="G244" t="s">
        <v>558</v>
      </c>
    </row>
    <row r="246" spans="4:8" x14ac:dyDescent="0.3">
      <c r="F246" t="s">
        <v>559</v>
      </c>
    </row>
    <row r="252" spans="4:8" ht="23.4" x14ac:dyDescent="0.3">
      <c r="D252" s="29" t="s">
        <v>573</v>
      </c>
    </row>
    <row r="253" spans="4:8" ht="18" x14ac:dyDescent="0.3">
      <c r="E253" s="30" t="s">
        <v>574</v>
      </c>
    </row>
    <row r="254" spans="4:8" x14ac:dyDescent="0.3">
      <c r="F254" t="s">
        <v>575</v>
      </c>
    </row>
    <row r="255" spans="4:8" x14ac:dyDescent="0.3">
      <c r="F255" t="s">
        <v>576</v>
      </c>
    </row>
    <row r="256" spans="4:8" x14ac:dyDescent="0.3">
      <c r="G256" s="31" t="s">
        <v>577</v>
      </c>
    </row>
    <row r="257" spans="4:8" x14ac:dyDescent="0.3">
      <c r="G257" s="31" t="s">
        <v>578</v>
      </c>
    </row>
    <row r="258" spans="4:8" x14ac:dyDescent="0.3">
      <c r="G258" s="31" t="s">
        <v>579</v>
      </c>
    </row>
    <row r="259" spans="4:8" x14ac:dyDescent="0.3">
      <c r="D259" s="31"/>
      <c r="F259" s="25" t="s">
        <v>580</v>
      </c>
    </row>
    <row r="261" spans="4:8" x14ac:dyDescent="0.3">
      <c r="D261" s="31"/>
      <c r="E261" t="s">
        <v>581</v>
      </c>
    </row>
    <row r="263" spans="4:8" ht="18" x14ac:dyDescent="0.3">
      <c r="D263" s="31"/>
      <c r="E263" s="30" t="s">
        <v>582</v>
      </c>
    </row>
    <row r="264" spans="4:8" x14ac:dyDescent="0.3">
      <c r="E264" s="31"/>
      <c r="F264" s="32" t="s">
        <v>583</v>
      </c>
    </row>
    <row r="265" spans="4:8" x14ac:dyDescent="0.3">
      <c r="G265" s="31" t="s">
        <v>584</v>
      </c>
    </row>
    <row r="266" spans="4:8" x14ac:dyDescent="0.3">
      <c r="E266" s="31"/>
      <c r="H266" s="33" t="s">
        <v>585</v>
      </c>
    </row>
    <row r="267" spans="4:8" x14ac:dyDescent="0.3">
      <c r="H267" s="33" t="s">
        <v>586</v>
      </c>
    </row>
    <row r="268" spans="4:8" x14ac:dyDescent="0.3">
      <c r="E268" t="s">
        <v>587</v>
      </c>
    </row>
    <row r="269" spans="4:8" x14ac:dyDescent="0.3">
      <c r="E269" s="31"/>
    </row>
    <row r="270" spans="4:8" x14ac:dyDescent="0.3">
      <c r="E270" s="33"/>
    </row>
    <row r="272" spans="4:8" ht="23.4" x14ac:dyDescent="0.3">
      <c r="D272" s="29" t="s">
        <v>595</v>
      </c>
      <c r="E272" s="33"/>
    </row>
    <row r="273" spans="4:10" ht="18" x14ac:dyDescent="0.3">
      <c r="E273" s="30" t="s">
        <v>596</v>
      </c>
    </row>
    <row r="274" spans="4:10" x14ac:dyDescent="0.3">
      <c r="F274" t="s">
        <v>597</v>
      </c>
    </row>
    <row r="275" spans="4:10" x14ac:dyDescent="0.3">
      <c r="F275" t="s">
        <v>598</v>
      </c>
    </row>
    <row r="276" spans="4:10" x14ac:dyDescent="0.3">
      <c r="E276" s="32" t="s">
        <v>599</v>
      </c>
    </row>
    <row r="278" spans="4:10" x14ac:dyDescent="0.3">
      <c r="D278" s="31"/>
      <c r="F278" s="32" t="s">
        <v>600</v>
      </c>
    </row>
    <row r="279" spans="4:10" x14ac:dyDescent="0.3">
      <c r="F279" s="31" t="s">
        <v>601</v>
      </c>
    </row>
    <row r="280" spans="4:10" x14ac:dyDescent="0.3">
      <c r="D280" s="31"/>
    </row>
    <row r="281" spans="4:10" ht="31.2" x14ac:dyDescent="0.3">
      <c r="D281" s="28" t="s">
        <v>602</v>
      </c>
    </row>
    <row r="282" spans="4:10" x14ac:dyDescent="0.3">
      <c r="E282" t="s">
        <v>603</v>
      </c>
    </row>
    <row r="283" spans="4:10" x14ac:dyDescent="0.3">
      <c r="I283" s="35" t="s">
        <v>604</v>
      </c>
      <c r="J283" s="35" t="s">
        <v>605</v>
      </c>
    </row>
    <row r="284" spans="4:10" ht="28.8" x14ac:dyDescent="0.3">
      <c r="I284" s="36" t="s">
        <v>606</v>
      </c>
      <c r="J284" s="22" t="s">
        <v>607</v>
      </c>
    </row>
    <row r="285" spans="4:10" ht="28.8" x14ac:dyDescent="0.3">
      <c r="I285" s="36" t="s">
        <v>608</v>
      </c>
      <c r="J285" s="22" t="s">
        <v>609</v>
      </c>
    </row>
    <row r="286" spans="4:10" ht="43.2" x14ac:dyDescent="0.3">
      <c r="I286" s="36" t="s">
        <v>610</v>
      </c>
      <c r="J286" s="22" t="s">
        <v>611</v>
      </c>
    </row>
    <row r="297" spans="2:18" ht="31.2" x14ac:dyDescent="0.3">
      <c r="B297" s="28" t="s">
        <v>614</v>
      </c>
    </row>
    <row r="298" spans="2:18" x14ac:dyDescent="0.3">
      <c r="L298" s="56" t="s">
        <v>646</v>
      </c>
    </row>
    <row r="299" spans="2:18" x14ac:dyDescent="0.3">
      <c r="B299" t="s">
        <v>615</v>
      </c>
    </row>
    <row r="301" spans="2:18" x14ac:dyDescent="0.3">
      <c r="B301" s="56" t="s">
        <v>647</v>
      </c>
    </row>
    <row r="303" spans="2:18" ht="18" x14ac:dyDescent="0.3">
      <c r="G303" t="s">
        <v>369</v>
      </c>
      <c r="Q303" s="30" t="s">
        <v>634</v>
      </c>
    </row>
    <row r="304" spans="2:18" x14ac:dyDescent="0.3">
      <c r="G304" s="35" t="s">
        <v>616</v>
      </c>
      <c r="H304" s="35" t="s">
        <v>617</v>
      </c>
      <c r="R304" t="s">
        <v>635</v>
      </c>
    </row>
    <row r="305" spans="3:23" x14ac:dyDescent="0.3">
      <c r="G305" s="22" t="s">
        <v>618</v>
      </c>
      <c r="H305" s="47" t="s">
        <v>619</v>
      </c>
      <c r="R305" s="31" t="s">
        <v>636</v>
      </c>
    </row>
    <row r="306" spans="3:23" x14ac:dyDescent="0.3">
      <c r="G306" s="22" t="s">
        <v>620</v>
      </c>
      <c r="H306" s="47" t="s">
        <v>621</v>
      </c>
      <c r="Q306" s="31"/>
      <c r="S306" s="31" t="s">
        <v>637</v>
      </c>
    </row>
    <row r="307" spans="3:23" x14ac:dyDescent="0.3">
      <c r="G307" s="22" t="s">
        <v>622</v>
      </c>
      <c r="H307" s="47" t="s">
        <v>623</v>
      </c>
      <c r="S307" t="s">
        <v>638</v>
      </c>
    </row>
    <row r="308" spans="3:23" ht="28.8" x14ac:dyDescent="0.3">
      <c r="G308" s="22" t="s">
        <v>624</v>
      </c>
      <c r="H308" s="47" t="s">
        <v>625</v>
      </c>
      <c r="T308" s="31" t="s">
        <v>639</v>
      </c>
    </row>
    <row r="309" spans="3:23" x14ac:dyDescent="0.3">
      <c r="E309" t="s">
        <v>631</v>
      </c>
      <c r="T309" t="s">
        <v>640</v>
      </c>
    </row>
    <row r="310" spans="3:23" x14ac:dyDescent="0.3">
      <c r="E310" t="s">
        <v>632</v>
      </c>
    </row>
    <row r="311" spans="3:23" ht="28.8" x14ac:dyDescent="0.3">
      <c r="E311" t="s">
        <v>633</v>
      </c>
      <c r="Q311" s="31"/>
      <c r="V311" s="35" t="s">
        <v>641</v>
      </c>
      <c r="W311" s="35" t="s">
        <v>642</v>
      </c>
    </row>
    <row r="312" spans="3:23" x14ac:dyDescent="0.3">
      <c r="D312" t="s">
        <v>626</v>
      </c>
      <c r="V312" s="22" t="s">
        <v>648</v>
      </c>
      <c r="W312" s="47" t="s">
        <v>643</v>
      </c>
    </row>
    <row r="313" spans="3:23" x14ac:dyDescent="0.3">
      <c r="V313" s="22" t="s">
        <v>649</v>
      </c>
      <c r="W313" s="47" t="s">
        <v>644</v>
      </c>
    </row>
    <row r="314" spans="3:23" ht="15.6" x14ac:dyDescent="0.3">
      <c r="C314" s="55" t="s">
        <v>628</v>
      </c>
      <c r="V314" t="s">
        <v>645</v>
      </c>
    </row>
    <row r="315" spans="3:23" x14ac:dyDescent="0.3">
      <c r="C315" t="s">
        <v>627</v>
      </c>
    </row>
    <row r="322" spans="3:9" x14ac:dyDescent="0.3">
      <c r="I322" t="s">
        <v>629</v>
      </c>
    </row>
    <row r="326" spans="3:9" x14ac:dyDescent="0.3">
      <c r="C326" s="25" t="s">
        <v>630</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21</vt:i4>
      </vt:variant>
    </vt:vector>
  </HeadingPairs>
  <TitlesOfParts>
    <vt:vector size="21" baseType="lpstr">
      <vt:lpstr>Branding</vt:lpstr>
      <vt:lpstr>Home_Dashboard</vt:lpstr>
      <vt:lpstr>Input_Form</vt:lpstr>
      <vt:lpstr>Results_Dashboard</vt:lpstr>
      <vt:lpstr>Recommendations</vt:lpstr>
      <vt:lpstr>ΔP Details</vt:lpstr>
      <vt:lpstr>Legal_Disclaimer</vt:lpstr>
      <vt:lpstr>Unit_Check</vt:lpstr>
      <vt:lpstr>Unit_Control</vt:lpstr>
      <vt:lpstr>Tube_Inputs</vt:lpstr>
      <vt:lpstr>Shell_Inputs</vt:lpstr>
      <vt:lpstr>Shell_DP</vt:lpstr>
      <vt:lpstr>Tube_DP</vt:lpstr>
      <vt:lpstr>DP_Checks</vt:lpstr>
      <vt:lpstr>Shell_HT</vt:lpstr>
      <vt:lpstr>Tube_HT</vt:lpstr>
      <vt:lpstr>Overall_Rating</vt:lpstr>
      <vt:lpstr>Energy_Check</vt:lpstr>
      <vt:lpstr>Chemical_Properties</vt:lpstr>
      <vt:lpstr>Reference for Properties</vt:lpstr>
      <vt:lpstr>Theory behind j factors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SUVI CHEM</cp:lastModifiedBy>
  <cp:lastPrinted>2026-01-08T09:14:31Z</cp:lastPrinted>
  <dcterms:created xsi:type="dcterms:W3CDTF">2026-01-05T06:15:27Z</dcterms:created>
  <dcterms:modified xsi:type="dcterms:W3CDTF">2026-01-25T05:32:13Z</dcterms:modified>
</cp:coreProperties>
</file>